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defaultThemeVersion="124226"/>
  <mc:AlternateContent xmlns:mc="http://schemas.openxmlformats.org/markup-compatibility/2006">
    <mc:Choice Requires="x15">
      <x15ac:absPath xmlns:x15ac="http://schemas.microsoft.com/office/spreadsheetml/2010/11/ac" url="https://anmbr-my.sharepoint.com/personal/tiago_saback_anm_gov_br/Documents/Área de Trabalho/"/>
    </mc:Choice>
  </mc:AlternateContent>
  <xr:revisionPtr revIDLastSave="12" documentId="13_ncr:1_{DF4AF3F9-B1BB-43B4-88E1-C38E71E99C04}" xr6:coauthVersionLast="47" xr6:coauthVersionMax="47" xr10:uidLastSave="{BD188EF7-685D-467C-AECB-DF949801B679}"/>
  <bookViews>
    <workbookView xWindow="-120" yWindow="-120" windowWidth="29040" windowHeight="15720" tabRatio="924" firstSheet="1" activeTab="2" xr2:uid="{00000000-000D-0000-FFFF-FFFF00000000}"/>
  </bookViews>
  <sheets>
    <sheet name="Mód2.2" sheetId="9" state="hidden" r:id="rId1"/>
    <sheet name="Resumo" sheetId="18" r:id="rId2"/>
    <sheet name="Limpeza - Item 5" sheetId="20" r:id="rId3"/>
    <sheet name="Controle de pragas - Item 6" sheetId="4" r:id="rId4"/>
    <sheet name="Remanejamento- Item 7" sheetId="19" r:id="rId5"/>
    <sheet name="Mód2.3 " sheetId="12" r:id="rId6"/>
    <sheet name="Uniform&amp;EPIs " sheetId="11" r:id="rId7"/>
    <sheet name="Materiais" sheetId="14" r:id="rId8"/>
    <sheet name="Mód3" sheetId="8" state="hidden" r:id="rId9"/>
    <sheet name="Mód6" sheetId="6" state="hidden" r:id="rId10"/>
    <sheet name="Mód4" sheetId="10" state="hidden" r:id="rId11"/>
    <sheet name="Equipamentos" sheetId="15" r:id="rId12"/>
    <sheet name="FatorK" sheetId="7" r:id="rId13"/>
    <sheet name="MemóriaCálculo" sheetId="16" r:id="rId1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 i="4" l="1"/>
  <c r="J5" i="18" l="1"/>
  <c r="F4" i="4"/>
  <c r="G4" i="4" s="1"/>
  <c r="F3" i="4"/>
  <c r="G3" i="4" s="1"/>
  <c r="I143" i="20" l="1"/>
  <c r="I144" i="20"/>
  <c r="K15" i="14"/>
  <c r="K16" i="15"/>
  <c r="K55" i="14"/>
  <c r="K19" i="11"/>
  <c r="E17" i="12"/>
  <c r="E10" i="12"/>
  <c r="J10" i="12"/>
  <c r="J9" i="12"/>
  <c r="I31" i="19"/>
  <c r="I30" i="19"/>
  <c r="K44" i="14"/>
  <c r="L44" i="14"/>
  <c r="K45" i="14"/>
  <c r="L45" i="14"/>
  <c r="K46" i="14"/>
  <c r="L46" i="14"/>
  <c r="K47" i="14"/>
  <c r="L47" i="14"/>
  <c r="K48" i="14"/>
  <c r="L48" i="14"/>
  <c r="K49" i="14"/>
  <c r="L49" i="14"/>
  <c r="K50" i="14"/>
  <c r="L50" i="14"/>
  <c r="K51" i="14"/>
  <c r="L51" i="14"/>
  <c r="K52" i="14"/>
  <c r="L52" i="14"/>
  <c r="K53" i="14"/>
  <c r="L53" i="14"/>
  <c r="K54" i="14"/>
  <c r="L54" i="14"/>
  <c r="K30" i="14"/>
  <c r="L30" i="14"/>
  <c r="K31" i="14"/>
  <c r="L31" i="14"/>
  <c r="K32" i="14"/>
  <c r="L32" i="14"/>
  <c r="J12" i="12" l="1"/>
  <c r="I97" i="4" s="1"/>
  <c r="K29" i="14"/>
  <c r="E185" i="20"/>
  <c r="K16" i="14"/>
  <c r="L16" i="14" s="1"/>
  <c r="K11" i="15"/>
  <c r="L11" i="15" s="1"/>
  <c r="K12" i="15"/>
  <c r="L12" i="15" s="1"/>
  <c r="K13" i="15"/>
  <c r="L13" i="15" s="1"/>
  <c r="K14" i="15"/>
  <c r="L14" i="15" s="1"/>
  <c r="K15" i="15"/>
  <c r="L15" i="15" s="1"/>
  <c r="I11" i="19"/>
  <c r="I10" i="19"/>
  <c r="I22" i="4"/>
  <c r="L24" i="15"/>
  <c r="K27" i="15" s="1"/>
  <c r="L29" i="14" l="1"/>
  <c r="K52" i="15"/>
  <c r="L52" i="15" s="1"/>
  <c r="K55" i="15" l="1"/>
  <c r="K57" i="15" s="1"/>
  <c r="I157" i="4" s="1"/>
  <c r="I5" i="18" l="1"/>
  <c r="F185" i="20"/>
  <c r="H175" i="20"/>
  <c r="B171" i="20"/>
  <c r="B169" i="20"/>
  <c r="B168" i="20"/>
  <c r="B167" i="20"/>
  <c r="B166" i="20"/>
  <c r="B165" i="20"/>
  <c r="H158" i="20"/>
  <c r="I132" i="20"/>
  <c r="I137" i="20" s="1"/>
  <c r="H132" i="20"/>
  <c r="H107" i="20"/>
  <c r="H75" i="20"/>
  <c r="H52" i="20"/>
  <c r="H54" i="20" s="1"/>
  <c r="I39" i="20"/>
  <c r="I28" i="20"/>
  <c r="H175" i="19"/>
  <c r="H174" i="19"/>
  <c r="B171" i="19"/>
  <c r="B169" i="19"/>
  <c r="B168" i="19"/>
  <c r="B167" i="19"/>
  <c r="B166" i="19"/>
  <c r="B165" i="19"/>
  <c r="H158" i="19"/>
  <c r="I132" i="19"/>
  <c r="I137" i="19" s="1"/>
  <c r="H132" i="19"/>
  <c r="H107" i="19"/>
  <c r="H75" i="19"/>
  <c r="H127" i="19" s="1"/>
  <c r="H52" i="19"/>
  <c r="H54" i="19" s="1"/>
  <c r="I39" i="19"/>
  <c r="I40" i="19" s="1"/>
  <c r="I28" i="19"/>
  <c r="K23" i="14"/>
  <c r="E51" i="12"/>
  <c r="E52" i="12" s="1"/>
  <c r="E59" i="12"/>
  <c r="E60" i="12"/>
  <c r="E42" i="12"/>
  <c r="I87" i="20" s="1"/>
  <c r="E9" i="12"/>
  <c r="H187" i="4"/>
  <c r="I101" i="4" l="1"/>
  <c r="I88" i="20"/>
  <c r="I88" i="19"/>
  <c r="I87" i="19"/>
  <c r="I41" i="20"/>
  <c r="I40" i="20"/>
  <c r="I45" i="20" s="1"/>
  <c r="H55" i="20"/>
  <c r="H56" i="20" s="1"/>
  <c r="H127" i="20"/>
  <c r="H110" i="20"/>
  <c r="I41" i="19"/>
  <c r="I45" i="19" s="1"/>
  <c r="H110" i="19"/>
  <c r="H55" i="19"/>
  <c r="H56" i="19"/>
  <c r="H188" i="4"/>
  <c r="I165" i="20" l="1"/>
  <c r="I125" i="20"/>
  <c r="I124" i="20"/>
  <c r="I123" i="20"/>
  <c r="I122" i="20"/>
  <c r="I121" i="20"/>
  <c r="I111" i="20"/>
  <c r="I109" i="20"/>
  <c r="I110" i="20" s="1"/>
  <c r="I108" i="20"/>
  <c r="I106" i="20"/>
  <c r="I74" i="20"/>
  <c r="I73" i="20"/>
  <c r="I72" i="20"/>
  <c r="I71" i="20"/>
  <c r="I70" i="20"/>
  <c r="I69" i="20"/>
  <c r="I68" i="20"/>
  <c r="I67" i="20"/>
  <c r="I55" i="20"/>
  <c r="I53" i="20"/>
  <c r="I52" i="20"/>
  <c r="I111" i="19"/>
  <c r="I124" i="19"/>
  <c r="I122" i="19"/>
  <c r="I73" i="19"/>
  <c r="I67" i="19"/>
  <c r="I52" i="19"/>
  <c r="I165" i="19"/>
  <c r="I71" i="19"/>
  <c r="I55" i="19"/>
  <c r="I53" i="19"/>
  <c r="I70" i="19"/>
  <c r="I109" i="19"/>
  <c r="I110" i="19" s="1"/>
  <c r="I121" i="19"/>
  <c r="I72" i="19"/>
  <c r="I123" i="19"/>
  <c r="I125" i="19"/>
  <c r="I68" i="19"/>
  <c r="I106" i="19"/>
  <c r="I108" i="19"/>
  <c r="I69" i="19"/>
  <c r="I74" i="19"/>
  <c r="I107" i="19"/>
  <c r="I54" i="20" l="1"/>
  <c r="I56" i="20" s="1"/>
  <c r="I99" i="20" s="1"/>
  <c r="I112" i="19"/>
  <c r="I167" i="19" s="1"/>
  <c r="I75" i="19"/>
  <c r="I100" i="19" s="1"/>
  <c r="I54" i="19"/>
  <c r="I56" i="19" s="1"/>
  <c r="I99" i="19" s="1"/>
  <c r="I126" i="19"/>
  <c r="I75" i="20"/>
  <c r="I100" i="20" s="1"/>
  <c r="I126" i="20"/>
  <c r="I127" i="20" s="1"/>
  <c r="I128" i="20" s="1"/>
  <c r="I136" i="20" s="1"/>
  <c r="I138" i="20" s="1"/>
  <c r="I168" i="20" s="1"/>
  <c r="I107" i="20"/>
  <c r="I112" i="20" s="1"/>
  <c r="I127" i="19"/>
  <c r="I128" i="19" s="1"/>
  <c r="I136" i="19" s="1"/>
  <c r="I138" i="19" s="1"/>
  <c r="I6" i="18"/>
  <c r="I3" i="18"/>
  <c r="I167" i="20" l="1"/>
  <c r="I168" i="19"/>
  <c r="K26" i="14"/>
  <c r="K11" i="14"/>
  <c r="K43" i="14" l="1"/>
  <c r="L43" i="14" s="1"/>
  <c r="K42" i="14"/>
  <c r="L42" i="14" s="1"/>
  <c r="K28" i="14"/>
  <c r="L28" i="14" s="1"/>
  <c r="K27" i="14"/>
  <c r="L27" i="14" s="1"/>
  <c r="L26" i="14"/>
  <c r="K25" i="14"/>
  <c r="L25" i="14" s="1"/>
  <c r="K24" i="14"/>
  <c r="L24" i="14" s="1"/>
  <c r="L23" i="14"/>
  <c r="K22" i="14"/>
  <c r="L22" i="14" s="1"/>
  <c r="K21" i="14"/>
  <c r="L21" i="14" s="1"/>
  <c r="K20" i="14"/>
  <c r="L20" i="14" s="1"/>
  <c r="K19" i="14"/>
  <c r="L19" i="14" s="1"/>
  <c r="K18" i="14"/>
  <c r="L18" i="14" s="1"/>
  <c r="K17" i="14"/>
  <c r="L17" i="14" s="1"/>
  <c r="L15" i="14"/>
  <c r="K14" i="14"/>
  <c r="L14" i="14" s="1"/>
  <c r="K13" i="14"/>
  <c r="L13" i="14" s="1"/>
  <c r="K12" i="14"/>
  <c r="L12" i="14" s="1"/>
  <c r="L11" i="14"/>
  <c r="K18" i="11" l="1"/>
  <c r="L18" i="11" s="1"/>
  <c r="K17" i="11"/>
  <c r="L17" i="11" s="1"/>
  <c r="K16" i="11"/>
  <c r="L16" i="11" s="1"/>
  <c r="K15" i="11"/>
  <c r="L15" i="11" s="1"/>
  <c r="K14" i="11"/>
  <c r="L14" i="11" s="1"/>
  <c r="K13" i="11"/>
  <c r="L13" i="11" s="1"/>
  <c r="K12" i="11"/>
  <c r="L12" i="11" s="1"/>
  <c r="K11" i="11"/>
  <c r="L11" i="11" s="1"/>
  <c r="I75" i="16" l="1"/>
  <c r="I74" i="16"/>
  <c r="I73" i="16"/>
  <c r="I72" i="16"/>
  <c r="I71" i="16"/>
  <c r="I21" i="16"/>
  <c r="I23" i="16" s="1"/>
  <c r="I25" i="16" s="1"/>
  <c r="G192" i="19" l="1"/>
  <c r="K33" i="14"/>
  <c r="K35" i="14" s="1"/>
  <c r="K21" i="11"/>
  <c r="K24" i="11" s="1"/>
  <c r="I76" i="16"/>
  <c r="I77" i="16" s="1"/>
  <c r="I78" i="16" s="1"/>
  <c r="K57" i="14"/>
  <c r="K18" i="15"/>
  <c r="K30" i="15" l="1"/>
  <c r="I142" i="20"/>
  <c r="I142" i="19"/>
  <c r="I146" i="19" s="1"/>
  <c r="I169" i="19" s="1"/>
  <c r="G201" i="19"/>
  <c r="I201" i="19" s="1"/>
  <c r="I202" i="19" s="1"/>
  <c r="I192" i="19"/>
  <c r="I193" i="19" s="1"/>
  <c r="I155" i="4"/>
  <c r="K61" i="14"/>
  <c r="K60" i="14"/>
  <c r="I19" i="10"/>
  <c r="I25" i="10"/>
  <c r="I23" i="10"/>
  <c r="I21" i="10"/>
  <c r="I17" i="10"/>
  <c r="H120" i="4"/>
  <c r="K62" i="14" l="1"/>
  <c r="I146" i="20" s="1"/>
  <c r="I169" i="20" s="1"/>
  <c r="J27" i="10"/>
  <c r="P31" i="10"/>
  <c r="H145" i="4" l="1"/>
  <c r="I145" i="4"/>
  <c r="I150" i="4" s="1"/>
  <c r="H171" i="4" l="1"/>
  <c r="H1" i="6" l="1"/>
  <c r="E13" i="8"/>
  <c r="E12" i="8"/>
  <c r="E21" i="12"/>
  <c r="H88" i="4"/>
  <c r="H123" i="4" l="1"/>
  <c r="H140" i="4"/>
  <c r="P39" i="8"/>
  <c r="C26" i="8"/>
  <c r="G26" i="8"/>
  <c r="G39" i="8"/>
  <c r="E23" i="12"/>
  <c r="E25" i="12" s="1"/>
  <c r="I85" i="19" l="1"/>
  <c r="I85" i="20"/>
  <c r="I159" i="4"/>
  <c r="J91" i="8"/>
  <c r="G25" i="8"/>
  <c r="G51" i="8"/>
  <c r="C51" i="8"/>
  <c r="C25" i="8"/>
  <c r="B89" i="8"/>
  <c r="G76" i="8"/>
  <c r="B88" i="8"/>
  <c r="B87" i="8"/>
  <c r="B86" i="8"/>
  <c r="B85" i="8"/>
  <c r="P65" i="8"/>
  <c r="I98" i="4"/>
  <c r="C17" i="9"/>
  <c r="C16" i="9"/>
  <c r="H65" i="4"/>
  <c r="H67" i="4" s="1"/>
  <c r="I100" i="4" l="1"/>
  <c r="H68" i="4"/>
  <c r="H69" i="4" s="1"/>
  <c r="G52" i="8"/>
  <c r="G65" i="8" l="1"/>
  <c r="C52" i="8"/>
  <c r="I182" i="4" l="1"/>
  <c r="G63" i="8"/>
  <c r="G37" i="8"/>
  <c r="H9" i="9"/>
  <c r="C9" i="9"/>
  <c r="F19" i="9" l="1"/>
  <c r="I52" i="4"/>
  <c r="E12" i="12" s="1"/>
  <c r="I41" i="4"/>
  <c r="I84" i="20" l="1"/>
  <c r="I84" i="19"/>
  <c r="I53" i="4"/>
  <c r="I54" i="4"/>
  <c r="B184" i="4"/>
  <c r="B182" i="4"/>
  <c r="B181" i="4"/>
  <c r="B180" i="4"/>
  <c r="B178" i="4"/>
  <c r="B179" i="4"/>
  <c r="I58" i="4" l="1"/>
  <c r="E33" i="12" l="1"/>
  <c r="I134" i="4"/>
  <c r="I68" i="4"/>
  <c r="I137" i="4"/>
  <c r="I178" i="4"/>
  <c r="I136" i="4"/>
  <c r="I135" i="4"/>
  <c r="I119" i="4"/>
  <c r="I121" i="4"/>
  <c r="I138" i="4"/>
  <c r="I122" i="4"/>
  <c r="I123" i="4" s="1"/>
  <c r="I124" i="4"/>
  <c r="I80" i="4"/>
  <c r="I81" i="4"/>
  <c r="I87" i="4"/>
  <c r="I82" i="4"/>
  <c r="I86" i="4"/>
  <c r="I85" i="4"/>
  <c r="I84" i="4"/>
  <c r="I83" i="4"/>
  <c r="D7" i="10"/>
  <c r="J52" i="8"/>
  <c r="I65" i="4"/>
  <c r="I66" i="4"/>
  <c r="G47" i="8"/>
  <c r="G59" i="8"/>
  <c r="C20" i="8"/>
  <c r="C5" i="9"/>
  <c r="C47" i="8"/>
  <c r="D46" i="10"/>
  <c r="G33" i="8"/>
  <c r="H5" i="9"/>
  <c r="G20" i="8"/>
  <c r="I86" i="20" l="1"/>
  <c r="I90" i="20" s="1"/>
  <c r="I101" i="20" s="1"/>
  <c r="I102" i="20" s="1"/>
  <c r="I86" i="19"/>
  <c r="I90" i="19" s="1"/>
  <c r="I101" i="19" s="1"/>
  <c r="I102" i="19" s="1"/>
  <c r="I166" i="19" s="1"/>
  <c r="I170" i="19" s="1"/>
  <c r="I152" i="19" s="1"/>
  <c r="I153" i="19" s="1"/>
  <c r="I172" i="19" s="1"/>
  <c r="I99" i="4"/>
  <c r="I139" i="4"/>
  <c r="I140" i="4" s="1"/>
  <c r="I141" i="4" s="1"/>
  <c r="I149" i="4" s="1"/>
  <c r="I151" i="4" s="1"/>
  <c r="I181" i="4" s="1"/>
  <c r="I67" i="4"/>
  <c r="I69" i="4" s="1"/>
  <c r="I112" i="4" s="1"/>
  <c r="I120" i="4"/>
  <c r="I125" i="4" s="1"/>
  <c r="I180" i="4" s="1"/>
  <c r="I88" i="4"/>
  <c r="I87" i="8"/>
  <c r="I91" i="8" s="1"/>
  <c r="I157" i="19" l="1"/>
  <c r="I156" i="19"/>
  <c r="I155" i="19"/>
  <c r="I174" i="19"/>
  <c r="I166" i="20"/>
  <c r="I170" i="20" s="1"/>
  <c r="I152" i="20" s="1"/>
  <c r="I153" i="20" s="1"/>
  <c r="C6" i="9"/>
  <c r="C7" i="9" s="1"/>
  <c r="C11" i="9" s="1"/>
  <c r="G22" i="8" s="1"/>
  <c r="G74" i="8"/>
  <c r="G78" i="8" s="1"/>
  <c r="H89" i="8" s="1"/>
  <c r="G34" i="8"/>
  <c r="G35" i="8" s="1"/>
  <c r="G41" i="8" s="1"/>
  <c r="G60" i="8"/>
  <c r="G61" i="8" s="1"/>
  <c r="G67" i="8" s="1"/>
  <c r="H6" i="9"/>
  <c r="H7" i="9" s="1"/>
  <c r="H11" i="9" s="1"/>
  <c r="P33" i="8" s="1"/>
  <c r="P35" i="8" s="1"/>
  <c r="P41" i="8" s="1"/>
  <c r="I113" i="4"/>
  <c r="I158" i="19" l="1"/>
  <c r="I171" i="19" s="1"/>
  <c r="I172" i="20"/>
  <c r="I174" i="20" s="1"/>
  <c r="A175" i="20" s="1"/>
  <c r="G219" i="19"/>
  <c r="I219" i="19" s="1"/>
  <c r="A175" i="19"/>
  <c r="G183" i="19" s="1"/>
  <c r="I183" i="19" s="1"/>
  <c r="I184" i="19" s="1"/>
  <c r="I103" i="4"/>
  <c r="I114" i="4" s="1"/>
  <c r="I115" i="4" s="1"/>
  <c r="I179" i="4" s="1"/>
  <c r="I183" i="4" s="1"/>
  <c r="C22" i="8"/>
  <c r="H86" i="8"/>
  <c r="P59" i="8"/>
  <c r="P61" i="8" s="1"/>
  <c r="P67" i="8" s="1"/>
  <c r="H88" i="8"/>
  <c r="K88" i="8"/>
  <c r="K86" i="8"/>
  <c r="F16" i="9"/>
  <c r="F17" i="9"/>
  <c r="I155" i="20" l="1"/>
  <c r="I156" i="20"/>
  <c r="I157" i="20"/>
  <c r="I220" i="19"/>
  <c r="J6" i="18" s="1"/>
  <c r="G193" i="20"/>
  <c r="I193" i="20" s="1"/>
  <c r="I194" i="20" s="1"/>
  <c r="G185" i="20"/>
  <c r="F21" i="9"/>
  <c r="G48" i="8"/>
  <c r="G49" i="8" s="1"/>
  <c r="G54" i="8" s="1"/>
  <c r="K87" i="8" s="1"/>
  <c r="D8" i="10"/>
  <c r="G21" i="8"/>
  <c r="G23" i="8" s="1"/>
  <c r="G28" i="8" s="1"/>
  <c r="K85" i="8" s="1"/>
  <c r="C21" i="8"/>
  <c r="C23" i="8" s="1"/>
  <c r="C28" i="8" s="1"/>
  <c r="C48" i="8"/>
  <c r="C49" i="8" s="1"/>
  <c r="C54" i="8" s="1"/>
  <c r="H87" i="8" s="1"/>
  <c r="D47" i="10"/>
  <c r="I158" i="20" l="1"/>
  <c r="I171" i="20" s="1"/>
  <c r="G202" i="20"/>
  <c r="I185" i="20"/>
  <c r="I186" i="20" s="1"/>
  <c r="J3" i="18" s="1"/>
  <c r="K91" i="8"/>
  <c r="H85" i="8"/>
  <c r="H91" i="8" s="1"/>
  <c r="G211" i="20" l="1"/>
  <c r="I211" i="20" s="1"/>
  <c r="I212" i="20" s="1"/>
  <c r="I202" i="20"/>
  <c r="I203" i="20" s="1"/>
  <c r="D48" i="10"/>
  <c r="D50" i="10" s="1"/>
  <c r="D54" i="10" s="1"/>
  <c r="D58" i="10" s="1"/>
  <c r="D9" i="10"/>
  <c r="D11" i="10" s="1"/>
  <c r="D15" i="10" s="1"/>
  <c r="E36" i="10" l="1"/>
  <c r="E30" i="10"/>
  <c r="E28" i="10"/>
  <c r="E34" i="10"/>
  <c r="E32" i="10"/>
  <c r="J38" i="10" l="1"/>
  <c r="I165" i="4" l="1"/>
  <c r="I166" i="4" l="1"/>
  <c r="I4" i="6" s="1"/>
  <c r="I6" i="6" s="1"/>
  <c r="I8" i="6" s="1"/>
  <c r="I185" i="4" l="1"/>
  <c r="A188" i="4" l="1"/>
  <c r="G194" i="4" s="1"/>
  <c r="I194" i="4" s="1"/>
  <c r="I169" i="4"/>
  <c r="I168" i="4"/>
  <c r="I170" i="4"/>
  <c r="B3" i="7"/>
  <c r="K5" i="18" l="1"/>
  <c r="I195" i="4"/>
  <c r="K6" i="18"/>
  <c r="I171" i="4"/>
  <c r="I184" i="4" s="1"/>
  <c r="K3" i="18" l="1"/>
  <c r="K7" i="18" l="1"/>
</calcChain>
</file>

<file path=xl/sharedStrings.xml><?xml version="1.0" encoding="utf-8"?>
<sst xmlns="http://schemas.openxmlformats.org/spreadsheetml/2006/main" count="1462" uniqueCount="549">
  <si>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</si>
  <si>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</si>
  <si>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</si>
  <si>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</si>
  <si>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</si>
  <si>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</si>
  <si>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</si>
  <si>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</si>
  <si>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</si>
  <si>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</si>
  <si>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</si>
  <si>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</si>
  <si>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</si>
  <si>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</si>
  <si>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</si>
  <si>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</si>
  <si>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</si>
  <si>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Periodocidade</t>
  </si>
  <si>
    <t>Quantidade</t>
  </si>
  <si>
    <t>Periodicidade em 5 anos</t>
  </si>
  <si>
    <t>QUANTIDADE TOTAL NO CONTRATO (60 MESES)</t>
  </si>
  <si>
    <t>VALOR UNITÁRIO</t>
  </si>
  <si>
    <t>VALOR TOTAL DO CONTRATO (60 MESES)</t>
  </si>
  <si>
    <t>SERVIÇO PAGO MENSALMENTE</t>
  </si>
  <si>
    <t>Prestação de serviço de limpeza e conservação com dedicação de mão de obra exclusiva</t>
  </si>
  <si>
    <t>m²</t>
  </si>
  <si>
    <t>Mensal</t>
  </si>
  <si>
    <t>SERVIÇO PAGO QUANDO REALIZADO</t>
  </si>
  <si>
    <t>Sob demanda</t>
  </si>
  <si>
    <r>
      <t xml:space="preserve">Remanejamento de equipamento / mobiliário </t>
    </r>
    <r>
      <rPr>
        <sz val="10"/>
        <color rgb="FFFF0000"/>
        <rFont val="Arial"/>
        <family val="2"/>
      </rPr>
      <t>(sob  demanda)</t>
    </r>
  </si>
  <si>
    <t>unidade (DIA)</t>
  </si>
  <si>
    <t>Valor total do contrato para 60 meses</t>
  </si>
  <si>
    <t>MODELO DE PLANILHA DE CUSTOS E FORMAÇÃO DE PREÇOS</t>
  </si>
  <si>
    <r>
      <rPr>
        <b/>
        <sz val="10"/>
        <color rgb="FF000000"/>
        <rFont val="Arial"/>
        <family val="2"/>
      </rPr>
      <t>Nº do Processo</t>
    </r>
    <r>
      <rPr>
        <sz val="10"/>
        <color rgb="FF000000"/>
        <rFont val="Arial"/>
        <family val="2"/>
      </rPr>
      <t>:   48051.006872/2025-79</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</si>
  <si>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</si>
  <si>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</si>
  <si>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</si>
  <si>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</si>
  <si>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</si>
  <si>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</si>
  <si>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</si>
  <si>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</si>
  <si>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</si>
  <si>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 xml:space="preserve"> PB000092/2025</t>
  </si>
  <si>
    <t>D</t>
  </si>
  <si>
    <t>Número de meses de execução contratual:</t>
  </si>
  <si>
    <t>Identificação do Serviço</t>
  </si>
  <si>
    <t>Tipo de Serviço</t>
  </si>
  <si>
    <t>Unidade de Medida</t>
  </si>
  <si>
    <t>Quantidade total a contratar (em função da unidade de medida)</t>
  </si>
  <si>
    <t>Limpeza e Conservação</t>
  </si>
  <si>
    <t>Unidade</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</si>
  <si>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</si>
  <si>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</si>
  <si>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</si>
  <si>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</si>
  <si>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</si>
  <si>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</si>
  <si>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</si>
  <si>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</si>
  <si>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</si>
  <si>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</si>
  <si>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</si>
  <si>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</si>
  <si>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</si>
  <si>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</si>
  <si>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</si>
  <si>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</si>
  <si>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</si>
  <si>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</si>
  <si>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</si>
  <si>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</si>
  <si>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</si>
  <si>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</si>
  <si>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</si>
  <si>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</si>
  <si>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</si>
  <si>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</si>
  <si>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</si>
  <si>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</si>
  <si>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</si>
  <si>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</si>
  <si>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</si>
  <si>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</si>
  <si>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</si>
  <si>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</si>
  <si>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</si>
  <si>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</si>
  <si>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</si>
  <si>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</si>
  <si>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</si>
  <si>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</si>
  <si>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</si>
  <si>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</si>
  <si>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</si>
  <si>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</si>
  <si>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</si>
  <si>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</si>
  <si>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</si>
  <si>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</si>
  <si>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</si>
  <si>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</si>
  <si>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</si>
  <si>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</si>
  <si>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</si>
  <si>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</si>
  <si>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</si>
  <si>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</si>
  <si>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</si>
  <si>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</si>
  <si>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</si>
  <si>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</si>
  <si>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</si>
  <si>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</si>
  <si>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</si>
  <si>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</si>
  <si>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</si>
  <si>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</si>
  <si>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</si>
  <si>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rPr>
        <i/>
        <sz val="10"/>
        <color rgb="FF000000"/>
        <rFont val="Arial"/>
        <family val="2"/>
      </rPr>
      <t>Aux. Saúde e Odontológico</t>
    </r>
    <r>
      <rPr>
        <i/>
        <sz val="10"/>
        <color rgb="FFFF0000"/>
        <rFont val="Arial"/>
        <family val="2"/>
      </rPr>
      <t xml:space="preserve"> </t>
    </r>
    <r>
      <rPr>
        <i/>
        <sz val="8"/>
        <color rgb="FFFF0000"/>
        <rFont val="Arial"/>
        <family val="2"/>
      </rPr>
      <t>(ver CCT e preencher campos em amarelo na aba Mód 2.3)</t>
    </r>
  </si>
  <si>
    <r>
      <t xml:space="preserve">Outros (Auxilo Creche) </t>
    </r>
    <r>
      <rPr>
        <i/>
        <sz val="8"/>
        <color rgb="FFFF0000"/>
        <rFont val="Arial"/>
        <family val="2"/>
      </rPr>
      <t>(ver CCT e preencher campos em amarelo na aba Mód 2.3)</t>
    </r>
  </si>
  <si>
    <t>Será pago conforme ocorrência</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</si>
  <si>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</si>
  <si>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</si>
  <si>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</si>
  <si>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</si>
  <si>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</si>
  <si>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</si>
  <si>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</si>
  <si>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</si>
  <si>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</si>
  <si>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</si>
  <si>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</si>
  <si>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</si>
  <si>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</si>
  <si>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</si>
  <si>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</si>
  <si>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</si>
  <si>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</si>
  <si>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</si>
  <si>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</si>
  <si>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</si>
  <si>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</si>
  <si>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</si>
  <si>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</si>
  <si>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</si>
  <si>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</si>
  <si>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</si>
  <si>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</si>
  <si>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</si>
  <si>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</si>
  <si>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</si>
  <si>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</si>
  <si>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</si>
  <si>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</si>
  <si>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</si>
  <si>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</si>
  <si>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</si>
  <si>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</si>
  <si>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</si>
  <si>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</si>
  <si>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</si>
  <si>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</si>
  <si>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</si>
  <si>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</si>
  <si>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</si>
  <si>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</si>
  <si>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</si>
  <si>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</si>
  <si>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</si>
  <si>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</si>
  <si>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</si>
  <si>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</si>
  <si>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</si>
  <si>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</si>
  <si>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</si>
  <si>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</si>
  <si>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</si>
  <si>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</si>
  <si>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</si>
  <si>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</si>
  <si>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</si>
  <si>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</si>
  <si>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</si>
  <si>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</si>
  <si>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</si>
  <si>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</si>
  <si>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</si>
  <si>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</si>
  <si>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</si>
  <si>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Custo mensal</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</si>
  <si>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</si>
  <si>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</si>
  <si>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</si>
  <si>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(m²/dia)</t>
  </si>
  <si>
    <t>Equipe de limpeza</t>
  </si>
  <si>
    <t>Limpeza/dia</t>
  </si>
  <si>
    <t>Custo Mensal
(R$)</t>
  </si>
  <si>
    <t>(1x2)
SUBTOTAL
(R$/m²)</t>
  </si>
  <si>
    <t>Servente</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</si>
  <si>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</si>
  <si>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</si>
  <si>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</si>
  <si>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(1)
PRODUTIVIDADE
(1/m²)</t>
  </si>
  <si>
    <t>(2)
PREÇO HOMEM-MÊS
(R$)</t>
  </si>
  <si>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</si>
  <si>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</si>
  <si>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</si>
  <si>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</si>
  <si>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</si>
  <si>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</si>
  <si>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</si>
  <si>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</si>
  <si>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</si>
  <si>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</si>
  <si>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</si>
  <si>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Nº do Processo:    48051.006872/2025-79</t>
  </si>
  <si>
    <t>Controle de pragas</t>
  </si>
  <si>
    <t>5199-10</t>
  </si>
  <si>
    <t>Desinsetizador</t>
  </si>
  <si>
    <r>
      <t xml:space="preserve">Outros (Seguro de vida) </t>
    </r>
    <r>
      <rPr>
        <i/>
        <sz val="8"/>
        <color rgb="FFFF0000"/>
        <rFont val="Arial"/>
        <family val="2"/>
      </rPr>
      <t>(ver CCT e preencher campos em amarelo na aba Mód 2.3)</t>
    </r>
  </si>
  <si>
    <t>Materias já inclusos no custos de limpeza</t>
  </si>
  <si>
    <t>Equipamentos, Ferramentas e Acessórios( pulverizador  Costal)</t>
  </si>
  <si>
    <t>Desinsetização / Desratização / Dedetização</t>
  </si>
  <si>
    <t xml:space="preserve">
PRODUTIVIDADE m²/dia</t>
  </si>
  <si>
    <t>Servente/Dedetização</t>
  </si>
  <si>
    <t>Materias e equipamentos já inclusos no custos de limpeza</t>
  </si>
  <si>
    <t>Nº do Processo:   48051.006872/2025-79</t>
  </si>
  <si>
    <t>PREÇO UNITÁRIO</t>
  </si>
  <si>
    <t>Remanejamento de equipamento / mobiliário (sob  demanda)</t>
  </si>
  <si>
    <t>Outros serviços</t>
  </si>
  <si>
    <t>Vale Transporte - Servente de Limpeza</t>
  </si>
  <si>
    <t>Vale Transporte - Dedetizador</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</si>
  <si>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</si>
  <si>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</si>
  <si>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</si>
  <si>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</si>
  <si>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</si>
  <si>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</si>
  <si>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</si>
  <si>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</si>
  <si>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</si>
  <si>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</si>
  <si>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</si>
  <si>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</si>
  <si>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</si>
  <si>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</si>
  <si>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</si>
  <si>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</si>
  <si>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</si>
  <si>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Aux. Saúde e Odontológico</t>
  </si>
  <si>
    <t>Aux. Saúde</t>
  </si>
  <si>
    <t>Aux. Odontológico</t>
  </si>
  <si>
    <t>Custo Efetivo da Assistência Familiar</t>
  </si>
  <si>
    <t>Seguro de Vida</t>
  </si>
  <si>
    <t>Valor do Premio Morte 26xRem</t>
  </si>
  <si>
    <t>Valor do Premio Invalidez 52xRem</t>
  </si>
  <si>
    <t>Alíquota do Seguro (Incidência)</t>
  </si>
  <si>
    <t>Nº Empregados cobertos</t>
  </si>
  <si>
    <t>Custo Anual</t>
  </si>
  <si>
    <t>Custo Efetivo Mensal</t>
  </si>
  <si>
    <t>Benefício</t>
  </si>
  <si>
    <t>Incidência</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</si>
  <si>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</si>
  <si>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</si>
  <si>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</si>
  <si>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</si>
  <si>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</si>
  <si>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Fone</t>
  </si>
  <si>
    <t>Loja do Guarda pó</t>
  </si>
  <si>
    <t>48 3247 4959</t>
  </si>
  <si>
    <t>Amazon</t>
  </si>
  <si>
    <t>Mercado Livre</t>
  </si>
  <si>
    <t>Item</t>
  </si>
  <si>
    <t>Fardamento e seus complementos</t>
  </si>
  <si>
    <t>Unid.</t>
  </si>
  <si>
    <t>Quant.</t>
  </si>
  <si>
    <t>Órgãos/Licitações/Contratos/Fornecedores/Sites consultados</t>
  </si>
  <si>
    <t>Custo estimado</t>
  </si>
  <si>
    <t>Custo médio Unit.</t>
  </si>
  <si>
    <t>Custo médio Total</t>
  </si>
  <si>
    <t>Valor Unit</t>
  </si>
  <si>
    <t>Camisa/bata curtas unissex, 100% algodão, preferencialmente na cor cinza, com gola, botões, manga curta, três bolsos e logomarca da empresa;</t>
  </si>
  <si>
    <t>Pç</t>
  </si>
  <si>
    <t>Calças compridas, tipo pijama, unissex, 100% algodão, preferencialmente na cor cinza, com cós elástico e três bolsos;</t>
  </si>
  <si>
    <t>Calçado de couro, tipo bota cano curto, preferencialmente na cor preta;</t>
  </si>
  <si>
    <t>Par</t>
  </si>
  <si>
    <t>Meias cano curto, preferencialmente na cor preta, 100% algodão, adequadas à prestação dos serviços.</t>
  </si>
  <si>
    <t>Crachá</t>
  </si>
  <si>
    <t>Óculos de proteção transparente</t>
  </si>
  <si>
    <t>Bota de borracha/PVC cano curto</t>
  </si>
  <si>
    <t>Respirador Descartável Concha, Classe PFF-2 (S) com Carvão Ativado Clipe Nasal Acoplado (com qualidade igual ou superior ao Respirador Descartável Concha 3M™ 8023, Carvão Ativado, CA: 9626. Eficaz para proteção contra poeiras, névoas, fumos e alívio de odores incômodos provenientes de Vapores Orgânicos. Especificações Atendidas: ABNT NBR 13698).</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</si>
  <si>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</si>
  <si>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</si>
  <si>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</si>
  <si>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</si>
  <si>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</si>
  <si>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</si>
  <si>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</si>
  <si>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</si>
  <si>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48 3954 3100</t>
  </si>
  <si>
    <t>Atacado Catarinense</t>
  </si>
  <si>
    <t>48 3952 2500</t>
  </si>
  <si>
    <t>Kuerten Distribuidora</t>
  </si>
  <si>
    <t>48 9125-5407</t>
  </si>
  <si>
    <t>Descrição dos Materiais de Consumo
(Quantidade Mensal)</t>
  </si>
  <si>
    <r>
      <t>ALCOOL etílico</t>
    </r>
    <r>
      <rPr>
        <sz val="10"/>
        <color rgb="FF000000"/>
        <rFont val="Calibri"/>
        <family val="2"/>
      </rPr>
      <t xml:space="preserve"> líquido, 1 L, 70% INPM, para limpeza geral</t>
    </r>
  </si>
  <si>
    <t>Litro</t>
  </si>
  <si>
    <r>
      <t xml:space="preserve">CLORO </t>
    </r>
    <r>
      <rPr>
        <sz val="10"/>
        <color rgb="FF000000"/>
        <rFont val="Calibri"/>
        <family val="2"/>
      </rPr>
      <t>(água sanitária), uso doméstico, a base de hipoclorito de sódio. Embalagem plástica de 05 litros, com dados de identificação do produto, marca do fabricante, data de fabricação, prazo de validade e registro no Ministério da Saúde</t>
    </r>
  </si>
  <si>
    <t>Galão 5 L</t>
  </si>
  <si>
    <r>
      <t>DESINFETANTE l</t>
    </r>
    <r>
      <rPr>
        <sz val="10"/>
        <color rgb="FF000000"/>
        <rFont val="Calibri"/>
        <family val="2"/>
      </rPr>
      <t>íquido concentrado com poder desinfetante, super concentrado, fragrância pinho, aparência líquido viscoso, coloração verde, para limpeza geral e pesada e conservação da área, 5 Litros</t>
    </r>
  </si>
  <si>
    <r>
      <t>DETERGENTE</t>
    </r>
    <r>
      <rPr>
        <sz val="10"/>
        <color rgb="FF000000"/>
        <rFont val="Calibri"/>
        <family val="2"/>
      </rPr>
      <t xml:space="preserve"> líquido 5 litros, neutro, concentrado, inodoro, biodegradável, com dados de identificação do produto, marca do fabricante, data de fabricação e prazo de validade</t>
    </r>
  </si>
  <si>
    <r>
      <t>ESPONJA de lã de aço,</t>
    </r>
    <r>
      <rPr>
        <sz val="10"/>
        <color rgb="FF000000"/>
        <rFont val="Calibri"/>
        <family val="2"/>
      </rPr>
      <t xml:space="preserve"> para limpeza em geral. Embalagem: pacote com 8 unidades, marca do fabricante, data de fabricação e prazo de validade</t>
    </r>
  </si>
  <si>
    <t>Pacote com 8 Unid.</t>
  </si>
  <si>
    <r>
      <t>ESPONJA sintética</t>
    </r>
    <r>
      <rPr>
        <sz val="10"/>
        <color rgb="FF000000"/>
        <rFont val="Calibri"/>
        <family val="2"/>
      </rPr>
      <t>, dupla face, um lado em espuma poliuretano e outro em fibra sintética abrasiva, dimensões 100 x 70 x 20 mm, com variação de +/- 10 mm. Embalagem com dados de identificação do produto e marca do fabricante</t>
    </r>
  </si>
  <si>
    <r>
      <t xml:space="preserve">FLANELA </t>
    </r>
    <r>
      <rPr>
        <sz val="10"/>
        <color rgb="FF000000"/>
        <rFont val="Calibri"/>
        <family val="2"/>
      </rPr>
      <t>40 x 60, 100% algodão, para uso geral</t>
    </r>
  </si>
  <si>
    <r>
      <t>LIMPA MÓVEL</t>
    </r>
    <r>
      <rPr>
        <sz val="10"/>
        <color rgb="FF000000"/>
        <rFont val="Calibri"/>
        <family val="2"/>
      </rPr>
      <t xml:space="preserve"> de madeira, a base de óleo de peroba. Embalagem com 200 ml, com dados de identificação do produto, marca do fabricante, data de fabricação, prazo de validade</t>
    </r>
  </si>
  <si>
    <r>
      <t>LIMPADOR</t>
    </r>
    <r>
      <rPr>
        <sz val="10"/>
        <color rgb="FF000000"/>
        <rFont val="Calibri"/>
        <family val="2"/>
      </rPr>
      <t xml:space="preserve"> de vidros. Embalagem de 500ml na versão pulverizador, marca Veja ou similar</t>
    </r>
  </si>
  <si>
    <r>
      <t>PANO de chão</t>
    </r>
    <r>
      <rPr>
        <sz val="10"/>
        <color rgb="FF000000"/>
        <rFont val="Calibri"/>
        <family val="2"/>
      </rPr>
      <t xml:space="preserve"> cru alvejado</t>
    </r>
  </si>
  <si>
    <r>
      <rPr>
        <b/>
        <sz val="10"/>
        <color rgb="FF000000"/>
        <rFont val="Calibri"/>
        <family val="2"/>
      </rPr>
      <t>PAPEL HIGIÊNICO</t>
    </r>
    <r>
      <rPr>
        <sz val="10"/>
        <color rgb="FF000000"/>
        <rFont val="Calibri"/>
        <family val="2"/>
      </rPr>
      <t xml:space="preserve"> extra branco, macio, sem pigmento, 1ª qualidade, 100% fibras celulósicas, gofrado, folha dupla picotada, em rolo com 30m x 10cm., pacote com 4 unidades</t>
    </r>
  </si>
  <si>
    <t>Pacote</t>
  </si>
  <si>
    <r>
      <rPr>
        <b/>
        <sz val="10"/>
        <color theme="1"/>
        <rFont val="Calibri"/>
        <family val="2"/>
      </rPr>
      <t>TOALHA DE PAPEL INTERFOLHADA</t>
    </r>
    <r>
      <rPr>
        <sz val="10"/>
        <color theme="1"/>
        <rFont val="Calibri"/>
        <family val="2"/>
      </rPr>
      <t xml:space="preserve">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r>
  </si>
  <si>
    <r>
      <t>SABÃO em barr</t>
    </r>
    <r>
      <rPr>
        <sz val="10"/>
        <color rgb="FF000000"/>
        <rFont val="Calibri"/>
        <family val="2"/>
      </rPr>
      <t>a, 1 kg</t>
    </r>
  </si>
  <si>
    <r>
      <t>SABONETE liquido</t>
    </r>
    <r>
      <rPr>
        <sz val="10"/>
        <color rgb="FF000000"/>
        <rFont val="Calibri"/>
        <family val="2"/>
      </rPr>
      <t>, cremoso, de fragrância erva-doce agradável, para saboneteiras acrílicas de banheiros, embalagem com 5 litros cada, com dados do fabricante, data de fabricação e prazo de validade e registro no Ministério da Saúde.</t>
    </r>
  </si>
  <si>
    <r>
      <t xml:space="preserve">SACO </t>
    </r>
    <r>
      <rPr>
        <sz val="10"/>
        <color rgb="FF000000"/>
        <rFont val="Calibri"/>
        <family val="2"/>
      </rPr>
      <t>de lixo preto, 100  litros, pacote com 100 unidades</t>
    </r>
  </si>
  <si>
    <r>
      <t xml:space="preserve">SACO </t>
    </r>
    <r>
      <rPr>
        <sz val="10"/>
        <color rgb="FF000000"/>
        <rFont val="Calibri"/>
        <family val="2"/>
      </rPr>
      <t>de amarelo , 40 litros, pacote com 100 unidades</t>
    </r>
  </si>
  <si>
    <r>
      <t>Veja Gold</t>
    </r>
    <r>
      <rPr>
        <sz val="10"/>
        <color rgb="FF000000"/>
        <rFont val="Calibri"/>
        <family val="2"/>
      </rPr>
      <t xml:space="preserve"> Original - Limpador Multiuso, 500ml</t>
    </r>
  </si>
  <si>
    <r>
      <t>Bom Ar</t>
    </r>
    <r>
      <rPr>
        <sz val="10"/>
        <rFont val="Arial"/>
        <family val="2"/>
      </rPr>
      <t>, purifcador de ar, spray automático, embalagem de 40 ml/250 gramas.</t>
    </r>
  </si>
  <si>
    <r>
      <rPr>
        <b/>
        <sz val="10"/>
        <color rgb="FF000000"/>
        <rFont val="Arial"/>
        <family val="2"/>
      </rPr>
      <t>Inseticida/raticida</t>
    </r>
    <r>
      <rPr>
        <sz val="10"/>
        <color rgb="FF000000"/>
        <rFont val="Arial"/>
        <family val="2"/>
      </rPr>
      <t xml:space="preserve"> para controle de pragas - Desinsetização / Desratização / Dedetização(previsto 4 litros por dedetização, 2 dedetizações por ano)</t>
    </r>
  </si>
  <si>
    <r>
      <rPr>
        <b/>
        <sz val="10"/>
        <color rgb="FF000000"/>
        <rFont val="Arial"/>
        <family val="2"/>
      </rPr>
      <t>Naftalina</t>
    </r>
    <r>
      <rPr>
        <sz val="10"/>
        <color rgb="FF000000"/>
        <rFont val="Arial"/>
        <family val="2"/>
      </rPr>
      <t xml:space="preserve"> pacote com 50g</t>
    </r>
  </si>
  <si>
    <r>
      <rPr>
        <b/>
        <sz val="10"/>
        <color rgb="FF000000"/>
        <rFont val="Arial"/>
        <family val="2"/>
      </rPr>
      <t>Fósforo</t>
    </r>
    <r>
      <rPr>
        <sz val="10"/>
        <color rgb="FF000000"/>
        <rFont val="Arial"/>
        <family val="2"/>
      </rPr>
      <t xml:space="preserve"> longo, caixa com 240 unidades</t>
    </r>
  </si>
  <si>
    <t>Caixa</t>
  </si>
  <si>
    <r>
      <rPr>
        <b/>
        <sz val="10"/>
        <color rgb="FF000000"/>
        <rFont val="Arial"/>
        <family val="2"/>
      </rPr>
      <t>INSETICIDA</t>
    </r>
    <r>
      <rPr>
        <sz val="10"/>
        <color rgb="FF000000"/>
        <rFont val="Arial"/>
        <family val="2"/>
      </rPr>
      <t xml:space="preserve"> líquido, eficaz contra o mosquito da dengue, combate pragas caseiras: moscas, mosquitos, pernilongos, muriçocas, carapanãs e baratas. Frasco de 500 ml</t>
    </r>
  </si>
  <si>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</si>
  <si>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</si>
  <si>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Anual)</t>
  </si>
  <si>
    <r>
      <t>BALDE PLÁSTICO</t>
    </r>
    <r>
      <rPr>
        <sz val="10"/>
        <rFont val="Arial"/>
        <family val="2"/>
      </rPr>
      <t xml:space="preserve"> PARA LIMPEZA 20L</t>
    </r>
  </si>
  <si>
    <r>
      <t>DESENTUPIDOR DE VASO</t>
    </r>
    <r>
      <rPr>
        <sz val="10"/>
        <rFont val="Arial"/>
        <family val="2"/>
      </rPr>
      <t xml:space="preserve"> SANITÁRIO</t>
    </r>
  </si>
  <si>
    <t>DESENTUPIDOR DE PIA</t>
  </si>
  <si>
    <r>
      <t>ESCOVA</t>
    </r>
    <r>
      <rPr>
        <sz val="10"/>
        <rFont val="Arial"/>
        <family val="2"/>
      </rPr>
      <t xml:space="preserve"> PARA LAVAR PANO</t>
    </r>
  </si>
  <si>
    <r>
      <t xml:space="preserve">ESCOVA </t>
    </r>
    <r>
      <rPr>
        <sz val="10"/>
        <rFont val="Arial"/>
        <family val="2"/>
      </rPr>
      <t>SANITÁRIA</t>
    </r>
  </si>
  <si>
    <r>
      <rPr>
        <b/>
        <sz val="10"/>
        <color rgb="FF000000"/>
        <rFont val="Arial"/>
        <family val="2"/>
      </rPr>
      <t xml:space="preserve">ESPANADOR </t>
    </r>
    <r>
      <rPr>
        <sz val="10"/>
        <color rgb="FF000000"/>
        <rFont val="Arial"/>
        <family val="2"/>
      </rPr>
      <t>DE PENA 40cm</t>
    </r>
  </si>
  <si>
    <r>
      <t>LUVA EM LÁTEX</t>
    </r>
    <r>
      <rPr>
        <sz val="10"/>
        <rFont val="Arial"/>
        <family val="2"/>
      </rPr>
      <t xml:space="preserve"> DE </t>
    </r>
    <r>
      <rPr>
        <sz val="11"/>
        <rFont val="Arial"/>
        <family val="2"/>
      </rPr>
      <t>BORRACHA NATURAL, </t>
    </r>
    <r>
      <rPr>
        <sz val="10"/>
        <rFont val="Arial"/>
        <family val="2"/>
      </rPr>
      <t>INTERNAMENTE FORRADA COM FLOCOS DE ALGODÃO, </t>
    </r>
    <r>
      <rPr>
        <sz val="11"/>
        <rFont val="Arial"/>
        <family val="2"/>
      </rPr>
      <t>TAMANHO M, COR AMARELO, PACOTE COM 1 PAR</t>
    </r>
  </si>
  <si>
    <r>
      <t>RODO</t>
    </r>
    <r>
      <rPr>
        <sz val="10"/>
        <rFont val="Arial"/>
        <family val="2"/>
      </rPr>
      <t xml:space="preserve"> COM DUAS BORRACHAS 40 CM COM CABO LONGO</t>
    </r>
  </si>
  <si>
    <r>
      <rPr>
        <b/>
        <sz val="10"/>
        <color rgb="FF000000"/>
        <rFont val="Arial"/>
        <family val="2"/>
      </rPr>
      <t>VASSOURA</t>
    </r>
    <r>
      <rPr>
        <sz val="10"/>
        <color rgb="FF000000"/>
        <rFont val="Arial"/>
        <family val="2"/>
      </rPr>
      <t xml:space="preserve"> DE NYLON COM CABO</t>
    </r>
  </si>
  <si>
    <r>
      <rPr>
        <b/>
        <sz val="10"/>
        <color rgb="FF000000"/>
        <rFont val="Arial"/>
        <family val="2"/>
      </rPr>
      <t>VASSOURA</t>
    </r>
    <r>
      <rPr>
        <sz val="10"/>
        <color rgb="FF000000"/>
        <rFont val="Arial"/>
        <family val="2"/>
      </rPr>
      <t xml:space="preserve"> PIAÇAVA COM CABO</t>
    </r>
  </si>
  <si>
    <r>
      <t>VASSOURA</t>
    </r>
    <r>
      <rPr>
        <sz val="10"/>
        <rFont val="Arial"/>
        <family val="2"/>
      </rPr>
      <t xml:space="preserve"> DE PELO COM CABO PARA PISO DE CERÂMICA</t>
    </r>
  </si>
  <si>
    <r>
      <t>PÁ</t>
    </r>
    <r>
      <rPr>
        <sz val="10"/>
        <rFont val="Arial"/>
        <family val="2"/>
      </rPr>
      <t xml:space="preserve"> PARA COLETA DE LIXO</t>
    </r>
  </si>
  <si>
    <t>Unid,</t>
  </si>
  <si>
    <r>
      <t>RODO</t>
    </r>
    <r>
      <rPr>
        <sz val="10"/>
        <rFont val="Arial"/>
        <family val="2"/>
      </rPr>
      <t xml:space="preserve"> LIMPA VIDRO COM CABO LONGO - MÍNIMO 1,5M</t>
    </r>
  </si>
  <si>
    <t>Custo total anual dos utensílios de consumo</t>
  </si>
  <si>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</si>
  <si>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</si>
  <si>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</si>
  <si>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</si>
  <si>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</si>
  <si>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</si>
  <si>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</si>
  <si>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</si>
  <si>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</si>
  <si>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</si>
  <si>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</si>
  <si>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</si>
  <si>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</si>
  <si>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</si>
  <si>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</si>
  <si>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</si>
  <si>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</si>
  <si>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</si>
  <si>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</si>
  <si>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</si>
  <si>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</si>
  <si>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</si>
  <si>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</si>
  <si>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</si>
  <si>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</si>
  <si>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</si>
  <si>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</si>
  <si>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</si>
  <si>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</si>
  <si>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</si>
  <si>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</si>
  <si>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</si>
  <si>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</si>
  <si>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</si>
  <si>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</si>
  <si>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</si>
  <si>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</si>
  <si>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</si>
  <si>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</si>
  <si>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</si>
  <si>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</si>
  <si>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</si>
  <si>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</si>
  <si>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</si>
  <si>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</si>
  <si>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</si>
  <si>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</si>
  <si>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</si>
  <si>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</si>
  <si>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</si>
  <si>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</si>
  <si>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</si>
  <si>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</si>
  <si>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</si>
  <si>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</si>
  <si>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</si>
  <si>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</si>
  <si>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</si>
  <si>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</si>
  <si>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</si>
  <si>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</si>
  <si>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</si>
  <si>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</si>
  <si>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</si>
  <si>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</si>
  <si>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</si>
  <si>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</si>
  <si>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</si>
  <si>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</si>
  <si>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</si>
  <si>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</si>
  <si>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</si>
  <si>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</si>
  <si>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</si>
  <si>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</si>
  <si>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</si>
  <si>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</si>
  <si>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</si>
  <si>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</si>
  <si>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</si>
  <si>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</si>
  <si>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</si>
  <si>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</si>
  <si>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</si>
  <si>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</si>
  <si>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</si>
  <si>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</si>
  <si>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</si>
  <si>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</si>
  <si>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</si>
  <si>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</si>
  <si>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</si>
  <si>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</si>
  <si>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</si>
  <si>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</si>
  <si>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</si>
  <si>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</si>
  <si>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</si>
  <si>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</si>
  <si>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</si>
  <si>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</si>
  <si>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Especificação dos Equipamentos, Ferramentas e Acessórios</t>
  </si>
  <si>
    <t>Escada de alumínio com 7 degraus</t>
  </si>
  <si>
    <t>Mangueira de jardim</t>
  </si>
  <si>
    <t>Suporte para papel higiênico</t>
  </si>
  <si>
    <t>Suporte para papel toalha</t>
  </si>
  <si>
    <t>Saboneteira líquida de parede</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</si>
  <si>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</si>
  <si>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</si>
  <si>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Descrição</t>
  </si>
  <si>
    <t>60 meses</t>
  </si>
  <si>
    <t>Relógio Eletrônico de Ponto Biométrico</t>
  </si>
  <si>
    <t>Papel térmico compatível com o relógio biométrico de ponto;</t>
  </si>
  <si>
    <t>No-break com autonimia mínima de 4 horas e compatível com o relógio biométrico de ponto;</t>
  </si>
  <si>
    <t>Link de internet de titularidade da contratada, para conectar o relógio biométrico de ponto.</t>
  </si>
  <si>
    <t>Valor mensal por terceirizado - Equipamento depreciado em 60 meses, dividido pelo numero de terceirizados contratados</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</si>
  <si>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</si>
  <si>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Especificação dos Equipamentos, Ferramentas e Acessórios para dedetização</t>
  </si>
  <si>
    <t>Pulverizador Costal</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</si>
  <si>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</si>
  <si>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</si>
  <si>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</si>
  <si>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</si>
  <si>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</si>
  <si>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</si>
  <si>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</si>
  <si>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</si>
  <si>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</si>
  <si>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</si>
  <si>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</si>
  <si>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</si>
  <si>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</si>
  <si>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</si>
  <si>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</si>
  <si>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</si>
  <si>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</si>
  <si>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</si>
  <si>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</si>
  <si>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</si>
  <si>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</si>
  <si>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</si>
  <si>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</si>
  <si>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</si>
  <si>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</si>
  <si>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</si>
  <si>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</si>
  <si>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</si>
  <si>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</si>
  <si>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</si>
  <si>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</si>
  <si>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</si>
  <si>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</si>
  <si>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</si>
  <si>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</si>
  <si>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</si>
  <si>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</si>
  <si>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</si>
  <si>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</si>
  <si>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</si>
  <si>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</si>
  <si>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</si>
  <si>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</si>
  <si>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</si>
  <si>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</si>
  <si>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</si>
  <si>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</si>
  <si>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</si>
  <si>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</si>
  <si>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</si>
  <si>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</si>
  <si>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</si>
  <si>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</si>
  <si>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</si>
  <si>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</si>
  <si>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</si>
  <si>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</si>
  <si>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</si>
  <si>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</si>
  <si>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</si>
  <si>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</si>
  <si>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</si>
  <si>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Estimativa de presços - Controle de pragas</t>
  </si>
  <si>
    <t>Consulta</t>
  </si>
  <si>
    <t>DATA DA PROPOSTA</t>
  </si>
  <si>
    <t>Preço por m²</t>
  </si>
  <si>
    <t>Média dos Demais Valores</t>
  </si>
  <si>
    <t>Percentual em Relação à Média dos Demais Valores</t>
  </si>
  <si>
    <t>Preço Médio</t>
  </si>
  <si>
    <t>Avaliação</t>
  </si>
  <si>
    <t>PCFP - Planilha de custos e Formação de Preços</t>
  </si>
  <si>
    <t>Válido</t>
  </si>
  <si>
    <t>Compras .gov.br</t>
  </si>
  <si>
    <t>Campina Grande-PB</t>
  </si>
  <si>
    <t>PB000092/2025</t>
  </si>
  <si>
    <r>
      <t xml:space="preserve">Controle de pragas - Desinsetização / Desratização / Dedetização - </t>
    </r>
    <r>
      <rPr>
        <sz val="10"/>
        <color rgb="FFFF0000"/>
        <rFont val="Arial"/>
        <family val="2"/>
      </rPr>
      <t>(sob demanda)</t>
    </r>
  </si>
  <si>
    <t>Servente de limpeza</t>
  </si>
  <si>
    <t>Campina Grande/PB</t>
  </si>
  <si>
    <t>Remanejamento de móveis e equipamentos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</si>
</sst>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0"/>
    <numFmt numFmtId="173" formatCode="&quot;R$&quot;\ #,##0.000000"/>
    <numFmt numFmtId="174" formatCode="0.000"/>
    <numFmt numFmtId="175" formatCode="_(&quot;R$ &quot;* #,##0.0000_);_(&quot;R$ &quot;* \(#,##0.0000\);_(&quot;R$ &quot;* &quot;-&quot;??_);_(@_)"/>
  </numFmts>
  <fonts count="64"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0"/>
      <color rgb="FF000000"/>
      <name val="Arial"/>
      <family val="2"/>
    </font>
    <font>
      <u/>
      <sz val="9"/>
      <color indexed="12"/>
      <name val="Arial"/>
      <family val="2"/>
    </font>
    <font>
      <sz val="12"/>
      <name val="Arial"/>
      <family val="2"/>
    </font>
    <font>
      <sz val="14"/>
      <color theme="1"/>
      <name val="Calibri"/>
      <family val="2"/>
      <scheme val="minor"/>
    </font>
    <font>
      <b/>
      <sz val="12"/>
      <color rgb="FF0000FF"/>
      <name val="Arial"/>
      <family val="2"/>
    </font>
    <font>
      <b/>
      <sz val="12"/>
      <name val="Arial"/>
      <family val="2"/>
    </font>
    <font>
      <i/>
      <sz val="10"/>
      <color rgb="FF000000"/>
      <name val="Arial"/>
      <family val="2"/>
    </font>
    <font>
      <sz val="10"/>
      <color theme="1"/>
      <name val="Arial"/>
      <family val="2"/>
    </font>
    <font>
      <b/>
      <sz val="9"/>
      <color theme="1"/>
      <name val="Arial"/>
      <family val="2"/>
    </font>
    <font>
      <sz val="10"/>
      <color rgb="FF000000"/>
      <name val="Calibri"/>
      <family val="2"/>
    </font>
    <font>
      <sz val="11"/>
      <color rgb="FF000000"/>
      <name val="Calibri"/>
      <family val="2"/>
      <charset val="1"/>
    </font>
    <font>
      <b/>
      <sz val="10"/>
      <color rgb="FF000000"/>
      <name val="Calibri"/>
      <family val="2"/>
    </font>
    <font>
      <sz val="10"/>
      <color theme="1"/>
      <name val="Calibri"/>
      <family val="2"/>
    </font>
    <font>
      <b/>
      <sz val="10"/>
      <color rgb="FF000000"/>
      <name val="Arial"/>
      <family val="2"/>
    </font>
    <font>
      <sz val="10"/>
      <color rgb="FF000000"/>
      <name val="Arial"/>
      <family val="2"/>
    </font>
    <font>
      <sz val="10"/>
      <color rgb="FF000000"/>
      <name val="Calibri"/>
      <family val="2"/>
    </font>
    <font>
      <sz val="10"/>
      <color theme="1"/>
      <name val="Calibri"/>
      <family val="2"/>
    </font>
    <font>
      <b/>
      <sz val="10"/>
      <color theme="1"/>
      <name val="Calibri"/>
      <family val="2"/>
    </font>
    <font>
      <b/>
      <sz val="14"/>
      <color rgb="FFFF0000"/>
      <name val="Arial"/>
      <family val="2"/>
    </font>
    <font>
      <sz val="11"/>
      <name val="Calibri"/>
      <family val="2"/>
      <scheme val="minor"/>
    </font>
  </fonts>
  <fills count="20">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C000"/>
        <bgColor indexed="64"/>
      </patternFill>
    </fill>
    <fill>
      <patternFill patternType="solid">
        <fgColor theme="4" tint="0.79998168889431442"/>
        <bgColor indexed="64"/>
      </patternFill>
    </fill>
    <fill>
      <patternFill patternType="solid">
        <fgColor rgb="FFFFFFFF"/>
        <bgColor rgb="FF000000"/>
      </patternFill>
    </fill>
  </fills>
  <borders count="8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right style="thin">
        <color rgb="FF000000"/>
      </right>
      <top style="thin">
        <color rgb="FF000000"/>
      </top>
      <bottom style="thin">
        <color rgb="FF000000"/>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thin">
        <color indexed="64"/>
      </right>
      <top style="medium">
        <color indexed="64"/>
      </top>
      <bottom style="thin">
        <color rgb="FF000000"/>
      </bottom>
      <diagonal/>
    </border>
    <border>
      <left/>
      <right/>
      <top/>
      <bottom style="thin">
        <color rgb="FF000000"/>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indexed="64"/>
      </right>
      <top/>
      <bottom style="medium">
        <color indexed="64"/>
      </bottom>
      <diagonal/>
    </border>
    <border>
      <left style="medium">
        <color indexed="64"/>
      </left>
      <right/>
      <top/>
      <bottom style="thin">
        <color rgb="FF000000"/>
      </bottom>
      <diagonal/>
    </border>
    <border>
      <left/>
      <right style="medium">
        <color indexed="64"/>
      </right>
      <top/>
      <bottom style="thin">
        <color rgb="FF000000"/>
      </bottom>
      <diagonal/>
    </border>
  </borders>
  <cellStyleXfs count="11">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1"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54" fillId="0" borderId="0"/>
  </cellStyleXfs>
  <cellXfs count="791">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10" fontId="0" fillId="0" borderId="1" xfId="0" applyNumberFormat="1" applyBorder="1"/>
    <xf numFmtId="0" fontId="5" fillId="0" borderId="0" xfId="0"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2" fillId="0" borderId="0" xfId="0" applyFont="1" applyAlignment="1">
      <alignment vertical="center"/>
    </xf>
    <xf numFmtId="10" fontId="1" fillId="4" borderId="1" xfId="2" applyNumberFormat="1" applyFill="1" applyBorder="1" applyAlignment="1"/>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5" fillId="0" borderId="0" xfId="0" applyFont="1" applyAlignment="1">
      <alignment vertical="center"/>
    </xf>
    <xf numFmtId="0" fontId="26" fillId="0" borderId="0" xfId="0" applyFont="1"/>
    <xf numFmtId="0" fontId="25" fillId="0" borderId="0" xfId="0" applyFont="1"/>
    <xf numFmtId="2" fontId="26" fillId="0" borderId="0" xfId="0" applyNumberFormat="1" applyFont="1"/>
    <xf numFmtId="2" fontId="25" fillId="0" borderId="0" xfId="0" applyNumberFormat="1" applyFont="1"/>
    <xf numFmtId="0" fontId="26" fillId="0" borderId="22" xfId="0" applyFont="1" applyBorder="1"/>
    <xf numFmtId="0" fontId="26" fillId="0" borderId="20" xfId="0" applyFont="1" applyBorder="1"/>
    <xf numFmtId="0" fontId="26" fillId="0" borderId="14" xfId="0" applyFont="1" applyBorder="1" applyAlignment="1">
      <alignment horizontal="center" vertical="center"/>
    </xf>
    <xf numFmtId="0" fontId="26" fillId="0" borderId="0" xfId="0" applyFont="1" applyAlignment="1">
      <alignment horizontal="center" vertical="center"/>
    </xf>
    <xf numFmtId="0" fontId="25" fillId="4" borderId="22" xfId="0" applyFont="1" applyFill="1" applyBorder="1"/>
    <xf numFmtId="0" fontId="25" fillId="4" borderId="20" xfId="0" applyFont="1" applyFill="1" applyBorder="1"/>
    <xf numFmtId="2" fontId="25"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3" fillId="0" borderId="0" xfId="0" applyFont="1" applyAlignment="1">
      <alignment horizontal="justify" vertical="center" wrapText="1"/>
    </xf>
    <xf numFmtId="0" fontId="34" fillId="13" borderId="65" xfId="0" applyFont="1" applyFill="1" applyBorder="1" applyAlignment="1">
      <alignment horizontal="center" vertical="center" wrapText="1"/>
    </xf>
    <xf numFmtId="0" fontId="36" fillId="13" borderId="66" xfId="0" applyFont="1" applyFill="1" applyBorder="1" applyAlignment="1">
      <alignment horizontal="center" vertical="center" wrapText="1"/>
    </xf>
    <xf numFmtId="0" fontId="32" fillId="0" borderId="67" xfId="0" applyFont="1" applyBorder="1" applyAlignment="1">
      <alignment horizontal="center" vertical="center" wrapText="1"/>
    </xf>
    <xf numFmtId="10" fontId="32" fillId="0" borderId="68" xfId="0" applyNumberFormat="1" applyFont="1" applyBorder="1" applyAlignment="1">
      <alignment horizontal="center" vertical="center" wrapText="1"/>
    </xf>
    <xf numFmtId="0" fontId="36" fillId="14" borderId="67" xfId="0" applyFont="1" applyFill="1" applyBorder="1" applyAlignment="1">
      <alignment horizontal="center" vertical="center" wrapText="1"/>
    </xf>
    <xf numFmtId="10" fontId="36" fillId="14" borderId="68" xfId="0" applyNumberFormat="1" applyFont="1" applyFill="1" applyBorder="1" applyAlignment="1">
      <alignment horizontal="center" vertical="center" wrapText="1"/>
    </xf>
    <xf numFmtId="0" fontId="2" fillId="0" borderId="0" xfId="0" applyFont="1" applyAlignment="1">
      <alignment horizontal="center" vertic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37" fillId="0" borderId="0" xfId="0" applyFont="1" applyAlignment="1">
      <alignment vertical="center"/>
    </xf>
    <xf numFmtId="0" fontId="38" fillId="0" borderId="0" xfId="0" applyFont="1" applyAlignment="1">
      <alignment wrapText="1"/>
    </xf>
    <xf numFmtId="44" fontId="0" fillId="0" borderId="0" xfId="0" applyNumberFormat="1"/>
    <xf numFmtId="44" fontId="0" fillId="0" borderId="42" xfId="0" applyNumberFormat="1" applyBorder="1"/>
    <xf numFmtId="44" fontId="7" fillId="0" borderId="0" xfId="0" applyNumberFormat="1" applyFont="1" applyAlignment="1">
      <alignment horizontal="center" vertical="center"/>
    </xf>
    <xf numFmtId="0" fontId="35"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1" fillId="6" borderId="2" xfId="0" applyFont="1" applyFill="1" applyBorder="1" applyAlignment="1">
      <alignment horizontal="center" vertical="center" wrapText="1"/>
    </xf>
    <xf numFmtId="0" fontId="42" fillId="6" borderId="46" xfId="0" applyFont="1" applyFill="1" applyBorder="1" applyAlignment="1">
      <alignment horizontal="center" vertical="center" wrapText="1"/>
    </xf>
    <xf numFmtId="0" fontId="41" fillId="0" borderId="5" xfId="0" applyFont="1" applyBorder="1" applyAlignment="1">
      <alignment horizontal="center" vertical="center" wrapText="1"/>
    </xf>
    <xf numFmtId="0" fontId="42" fillId="0" borderId="1" xfId="0" applyFont="1" applyBorder="1" applyAlignment="1">
      <alignment horizontal="center" vertical="center" wrapText="1"/>
    </xf>
    <xf numFmtId="0" fontId="41" fillId="6" borderId="5" xfId="0" applyFont="1" applyFill="1" applyBorder="1" applyAlignment="1">
      <alignment horizontal="center" vertical="center" wrapText="1"/>
    </xf>
    <xf numFmtId="0" fontId="42" fillId="6" borderId="1" xfId="0" applyFont="1" applyFill="1" applyBorder="1" applyAlignment="1">
      <alignment horizontal="center" vertical="center" wrapText="1"/>
    </xf>
    <xf numFmtId="0" fontId="41" fillId="7" borderId="5" xfId="0" applyFont="1" applyFill="1" applyBorder="1" applyAlignment="1">
      <alignment horizontal="center" vertical="center" wrapText="1"/>
    </xf>
    <xf numFmtId="0" fontId="42" fillId="7" borderId="1" xfId="0" applyFont="1" applyFill="1" applyBorder="1" applyAlignment="1">
      <alignment horizontal="center" vertical="center" wrapText="1"/>
    </xf>
    <xf numFmtId="0" fontId="41" fillId="0" borderId="6" xfId="0" applyFont="1" applyBorder="1" applyAlignment="1">
      <alignment horizontal="center" vertical="center" wrapText="1"/>
    </xf>
    <xf numFmtId="0" fontId="42" fillId="0" borderId="47" xfId="0" applyFont="1" applyBorder="1" applyAlignment="1">
      <alignment horizontal="center" vertical="center"/>
    </xf>
    <xf numFmtId="0" fontId="42" fillId="0" borderId="47" xfId="0" applyFont="1" applyBorder="1" applyAlignment="1">
      <alignment horizontal="center" vertical="center" wrapText="1"/>
    </xf>
    <xf numFmtId="0" fontId="41" fillId="6" borderId="2" xfId="0" applyFont="1" applyFill="1" applyBorder="1" applyAlignment="1">
      <alignment horizontal="center" vertical="justify" wrapText="1"/>
    </xf>
    <xf numFmtId="0" fontId="41" fillId="0" borderId="5" xfId="0" applyFont="1" applyBorder="1" applyAlignment="1">
      <alignment horizontal="center" vertical="justify" wrapText="1"/>
    </xf>
    <xf numFmtId="0" fontId="41" fillId="6" borderId="5" xfId="0" applyFont="1" applyFill="1" applyBorder="1" applyAlignment="1">
      <alignment horizontal="center" vertical="justify" wrapText="1"/>
    </xf>
    <xf numFmtId="0" fontId="41" fillId="6" borderId="54" xfId="0" applyFont="1" applyFill="1" applyBorder="1" applyAlignment="1">
      <alignment horizontal="center" vertical="justify" wrapText="1"/>
    </xf>
    <xf numFmtId="0" fontId="41" fillId="0" borderId="28" xfId="0" applyFont="1" applyBorder="1" applyAlignment="1">
      <alignment horizontal="center" vertical="justify" wrapText="1"/>
    </xf>
    <xf numFmtId="0" fontId="41" fillId="6" borderId="28" xfId="0" applyFont="1" applyFill="1" applyBorder="1" applyAlignment="1">
      <alignment horizontal="center" vertical="justify" wrapText="1"/>
    </xf>
    <xf numFmtId="0" fontId="1" fillId="0" borderId="0" xfId="0" applyFont="1" applyAlignment="1">
      <alignment horizontal="center"/>
    </xf>
    <xf numFmtId="0" fontId="1" fillId="0" borderId="0" xfId="0" applyFont="1" applyAlignment="1">
      <alignment horizontal="left"/>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xf numFmtId="43" fontId="0" fillId="0" borderId="0" xfId="0" applyNumberFormat="1" applyAlignment="1">
      <alignment horizontal="center" vertical="center"/>
    </xf>
    <xf numFmtId="0" fontId="15" fillId="6" borderId="46" xfId="0" applyFont="1" applyFill="1" applyBorder="1" applyAlignment="1">
      <alignment horizontal="center" vertical="center" wrapText="1"/>
    </xf>
    <xf numFmtId="0" fontId="15" fillId="6" borderId="10" xfId="0" applyFont="1" applyFill="1" applyBorder="1" applyAlignment="1">
      <alignment horizontal="center" vertical="center"/>
    </xf>
    <xf numFmtId="4" fontId="1" fillId="0" borderId="10" xfId="0" applyNumberFormat="1" applyFont="1" applyBorder="1" applyAlignment="1">
      <alignment horizontal="center" vertical="center" wrapText="1"/>
    </xf>
    <xf numFmtId="0" fontId="15" fillId="0" borderId="1" xfId="0" applyFont="1" applyBorder="1" applyAlignment="1">
      <alignment horizontal="center" vertical="center"/>
    </xf>
    <xf numFmtId="2" fontId="0" fillId="0" borderId="0" xfId="0" applyNumberFormat="1" applyAlignment="1">
      <alignment horizontal="center" vertical="center"/>
    </xf>
    <xf numFmtId="171" fontId="1" fillId="0" borderId="0" xfId="2" applyNumberFormat="1" applyAlignment="1">
      <alignment horizontal="center" vertical="center"/>
    </xf>
    <xf numFmtId="164" fontId="2" fillId="0" borderId="0" xfId="1" applyFont="1" applyAlignment="1">
      <alignment horizontal="center" vertical="center"/>
    </xf>
    <xf numFmtId="43" fontId="2" fillId="0" borderId="0" xfId="0" applyNumberFormat="1"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2" fontId="0" fillId="0" borderId="0" xfId="0" applyNumberFormat="1" applyAlignment="1">
      <alignment horizontal="left" vertical="center" wrapText="1"/>
    </xf>
    <xf numFmtId="169" fontId="0" fillId="0" borderId="0" xfId="0" applyNumberFormat="1"/>
    <xf numFmtId="0" fontId="0" fillId="0" borderId="0" xfId="0" applyAlignment="1">
      <alignment horizontal="justify" vertical="justify" wrapText="1"/>
    </xf>
    <xf numFmtId="0" fontId="0" fillId="0" borderId="0" xfId="0" applyAlignment="1">
      <alignment horizontal="justify" vertical="justify"/>
    </xf>
    <xf numFmtId="0" fontId="15" fillId="6" borderId="28" xfId="0" applyFont="1" applyFill="1" applyBorder="1" applyAlignment="1">
      <alignment horizontal="center" vertical="center"/>
    </xf>
    <xf numFmtId="0" fontId="15" fillId="6" borderId="54" xfId="0" applyFont="1" applyFill="1" applyBorder="1" applyAlignment="1">
      <alignment horizontal="center" vertical="center"/>
    </xf>
    <xf numFmtId="2" fontId="0" fillId="0" borderId="70" xfId="0" applyNumberFormat="1" applyBorder="1" applyAlignment="1">
      <alignment horizontal="center" vertical="center"/>
    </xf>
    <xf numFmtId="0" fontId="40" fillId="0" borderId="59" xfId="0" applyFont="1" applyBorder="1" applyAlignment="1">
      <alignment horizontal="center" vertical="center" wrapText="1"/>
    </xf>
    <xf numFmtId="0" fontId="40" fillId="0" borderId="58" xfId="0" applyFont="1" applyBorder="1" applyAlignment="1">
      <alignment horizontal="center" vertical="center" wrapText="1"/>
    </xf>
    <xf numFmtId="2" fontId="7" fillId="15" borderId="70" xfId="0" applyNumberFormat="1" applyFont="1" applyFill="1" applyBorder="1" applyAlignment="1">
      <alignment horizontal="center" vertical="center" wrapText="1"/>
    </xf>
    <xf numFmtId="2" fontId="7" fillId="15" borderId="55" xfId="0" applyNumberFormat="1" applyFont="1" applyFill="1" applyBorder="1" applyAlignment="1">
      <alignment horizontal="center" vertical="center" wrapText="1"/>
    </xf>
    <xf numFmtId="2" fontId="7" fillId="15" borderId="71" xfId="0" applyNumberFormat="1" applyFont="1" applyFill="1" applyBorder="1" applyAlignment="1">
      <alignment horizontal="center" vertical="center" wrapText="1"/>
    </xf>
    <xf numFmtId="2" fontId="7" fillId="15" borderId="72" xfId="0" applyNumberFormat="1" applyFont="1" applyFill="1" applyBorder="1" applyAlignment="1">
      <alignment horizontal="center" vertical="center" wrapText="1"/>
    </xf>
    <xf numFmtId="2" fontId="7" fillId="15" borderId="25" xfId="0" applyNumberFormat="1" applyFont="1" applyFill="1" applyBorder="1" applyAlignment="1">
      <alignment horizontal="center" vertical="center" wrapText="1"/>
    </xf>
    <xf numFmtId="2" fontId="7" fillId="15" borderId="8" xfId="0" applyNumberFormat="1" applyFont="1" applyFill="1" applyBorder="1" applyAlignment="1">
      <alignment horizontal="center" vertical="center" wrapText="1"/>
    </xf>
    <xf numFmtId="2" fontId="7" fillId="12" borderId="73" xfId="0" applyNumberFormat="1" applyFont="1" applyFill="1" applyBorder="1" applyAlignment="1">
      <alignment horizontal="center" vertical="center" wrapText="1"/>
    </xf>
    <xf numFmtId="2" fontId="7" fillId="12" borderId="3" xfId="0" applyNumberFormat="1" applyFont="1" applyFill="1" applyBorder="1" applyAlignment="1">
      <alignment horizontal="center" vertical="center" wrapText="1"/>
    </xf>
    <xf numFmtId="2" fontId="7" fillId="12" borderId="27" xfId="0" applyNumberFormat="1" applyFont="1" applyFill="1" applyBorder="1" applyAlignment="1">
      <alignment horizontal="center" vertical="center" wrapText="1"/>
    </xf>
    <xf numFmtId="2" fontId="7" fillId="12" borderId="4" xfId="0" applyNumberFormat="1" applyFont="1" applyFill="1" applyBorder="1" applyAlignment="1">
      <alignment horizontal="center" vertical="center" wrapText="1"/>
    </xf>
    <xf numFmtId="0" fontId="0" fillId="0" borderId="1" xfId="0" applyBorder="1" applyAlignment="1">
      <alignment horizontal="left" vertical="center" wrapText="1"/>
    </xf>
    <xf numFmtId="0" fontId="46" fillId="0" borderId="1" xfId="0" applyFont="1" applyBorder="1" applyAlignment="1">
      <alignment horizontal="center" vertical="center" wrapText="1"/>
    </xf>
    <xf numFmtId="169" fontId="0" fillId="0" borderId="1" xfId="0" applyNumberFormat="1" applyBorder="1" applyAlignment="1">
      <alignment horizontal="right" vertical="center"/>
    </xf>
    <xf numFmtId="0" fontId="0" fillId="0" borderId="1" xfId="0" quotePrefix="1" applyBorder="1" applyAlignment="1">
      <alignment horizontal="center" vertical="center" wrapText="1"/>
    </xf>
    <xf numFmtId="0" fontId="0" fillId="0" borderId="5" xfId="0" applyBorder="1" applyAlignment="1">
      <alignment horizontal="center" vertical="center"/>
    </xf>
    <xf numFmtId="43"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6" xfId="0" applyFont="1" applyBorder="1" applyAlignment="1">
      <alignment horizontal="center" vertical="center" wrapText="1"/>
    </xf>
    <xf numFmtId="0" fontId="14" fillId="0" borderId="46" xfId="0" applyFont="1" applyBorder="1" applyAlignment="1">
      <alignment horizontal="center" vertical="center" wrapText="1"/>
    </xf>
    <xf numFmtId="0" fontId="2" fillId="0" borderId="3" xfId="0" applyFont="1" applyBorder="1" applyAlignment="1">
      <alignment horizontal="center" vertical="center" wrapText="1"/>
    </xf>
    <xf numFmtId="169" fontId="0" fillId="0" borderId="4" xfId="0" applyNumberFormat="1" applyBorder="1" applyAlignment="1">
      <alignment horizontal="right" vertical="center"/>
    </xf>
    <xf numFmtId="0" fontId="0" fillId="0" borderId="47" xfId="0" applyBorder="1" applyAlignment="1">
      <alignment horizontal="center" vertical="center"/>
    </xf>
    <xf numFmtId="169" fontId="0" fillId="0" borderId="7" xfId="0" applyNumberFormat="1" applyBorder="1" applyAlignment="1">
      <alignment horizontal="center" vertical="center"/>
    </xf>
    <xf numFmtId="166" fontId="13" fillId="0" borderId="1" xfId="0" applyNumberFormat="1" applyFont="1" applyBorder="1" applyAlignment="1">
      <alignment horizontal="center" vertical="center"/>
    </xf>
    <xf numFmtId="0" fontId="46" fillId="9" borderId="32" xfId="0" applyFont="1" applyFill="1" applyBorder="1" applyAlignment="1">
      <alignment vertical="center"/>
    </xf>
    <xf numFmtId="0" fontId="46" fillId="0" borderId="0" xfId="0" applyFont="1" applyAlignment="1">
      <alignment vertical="center"/>
    </xf>
    <xf numFmtId="0" fontId="46" fillId="9" borderId="20" xfId="0" applyFont="1" applyFill="1" applyBorder="1" applyAlignment="1">
      <alignment vertical="center"/>
    </xf>
    <xf numFmtId="0" fontId="0" fillId="10" borderId="12" xfId="0" applyFill="1" applyBorder="1" applyAlignment="1">
      <alignment vertical="center"/>
    </xf>
    <xf numFmtId="0" fontId="1" fillId="0" borderId="38" xfId="0" applyFont="1" applyBorder="1" applyAlignment="1">
      <alignment horizontal="center"/>
    </xf>
    <xf numFmtId="0" fontId="1" fillId="0" borderId="42" xfId="0" applyFont="1" applyBorder="1" applyAlignment="1">
      <alignment horizontal="center"/>
    </xf>
    <xf numFmtId="0" fontId="1" fillId="0" borderId="38" xfId="0" applyFont="1" applyBorder="1" applyAlignment="1">
      <alignment horizontal="left"/>
    </xf>
    <xf numFmtId="0" fontId="1" fillId="0" borderId="42" xfId="0" applyFont="1" applyBorder="1" applyAlignment="1">
      <alignment horizontal="left"/>
    </xf>
    <xf numFmtId="0" fontId="2" fillId="4" borderId="4" xfId="0" applyFont="1" applyFill="1" applyBorder="1" applyAlignment="1">
      <alignment horizontal="center"/>
    </xf>
    <xf numFmtId="0" fontId="1" fillId="0" borderId="5" xfId="0" applyFont="1" applyBorder="1" applyAlignment="1">
      <alignment horizontal="center"/>
    </xf>
    <xf numFmtId="14" fontId="0" fillId="10" borderId="4" xfId="0" applyNumberFormat="1" applyFill="1" applyBorder="1" applyAlignment="1">
      <alignment horizontal="center"/>
    </xf>
    <xf numFmtId="0" fontId="0" fillId="10" borderId="4" xfId="0" applyFill="1" applyBorder="1" applyAlignment="1">
      <alignment horizontal="center"/>
    </xf>
    <xf numFmtId="0" fontId="1" fillId="10" borderId="4" xfId="0" applyFont="1" applyFill="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0" fillId="0" borderId="38" xfId="0" applyBorder="1" applyAlignment="1">
      <alignment horizontal="center" wrapText="1"/>
    </xf>
    <xf numFmtId="0" fontId="1" fillId="0" borderId="42" xfId="0" applyFont="1" applyBorder="1" applyAlignment="1">
      <alignment horizontal="center" vertical="center"/>
    </xf>
    <xf numFmtId="0" fontId="0" fillId="0" borderId="38" xfId="0" applyBorder="1" applyAlignment="1">
      <alignment horizontal="left" vertical="center"/>
    </xf>
    <xf numFmtId="0" fontId="9" fillId="0" borderId="38" xfId="0" applyFont="1" applyBorder="1" applyAlignment="1">
      <alignment vertical="center"/>
    </xf>
    <xf numFmtId="0" fontId="1" fillId="0" borderId="42" xfId="0" applyFont="1" applyBorder="1" applyAlignment="1">
      <alignment horizontal="right" vertical="center"/>
    </xf>
    <xf numFmtId="0" fontId="2" fillId="0" borderId="38" xfId="0" applyFont="1" applyBorder="1" applyAlignment="1">
      <alignment horizontal="left" vertical="center"/>
    </xf>
    <xf numFmtId="0" fontId="1" fillId="0" borderId="5" xfId="0" applyFont="1" applyBorder="1" applyAlignment="1">
      <alignment horizontal="center" vertical="center"/>
    </xf>
    <xf numFmtId="0" fontId="1" fillId="0" borderId="4" xfId="0" applyFont="1" applyBorder="1" applyAlignment="1">
      <alignment horizontal="center" vertical="center" wrapText="1"/>
    </xf>
    <xf numFmtId="0" fontId="0" fillId="0" borderId="4" xfId="0" applyBorder="1" applyAlignment="1">
      <alignment horizontal="center"/>
    </xf>
    <xf numFmtId="169" fontId="1" fillId="10" borderId="4" xfId="1" applyNumberFormat="1" applyFill="1" applyBorder="1" applyAlignment="1">
      <alignment horizontal="center"/>
    </xf>
    <xf numFmtId="0" fontId="0" fillId="17" borderId="4" xfId="0" applyFill="1" applyBorder="1" applyAlignment="1">
      <alignment horizontal="center" vertical="center" wrapText="1"/>
    </xf>
    <xf numFmtId="14" fontId="1" fillId="0" borderId="42" xfId="0" applyNumberFormat="1" applyFont="1" applyBorder="1" applyAlignment="1">
      <alignment horizontal="center"/>
    </xf>
    <xf numFmtId="4" fontId="0" fillId="0" borderId="4" xfId="0" applyNumberFormat="1" applyBorder="1"/>
    <xf numFmtId="4" fontId="2" fillId="4" borderId="4" xfId="0" applyNumberFormat="1" applyFont="1" applyFill="1" applyBorder="1"/>
    <xf numFmtId="0" fontId="2" fillId="0" borderId="38" xfId="0" applyFont="1" applyBorder="1" applyAlignment="1">
      <alignment horizontal="center"/>
    </xf>
    <xf numFmtId="0" fontId="2" fillId="0" borderId="5" xfId="0" applyFont="1" applyBorder="1" applyAlignment="1">
      <alignment horizontal="center" vertical="center"/>
    </xf>
    <xf numFmtId="2" fontId="2" fillId="4" borderId="4" xfId="0" applyNumberFormat="1" applyFont="1" applyFill="1" applyBorder="1"/>
    <xf numFmtId="0" fontId="2" fillId="0" borderId="75" xfId="0" applyFont="1" applyBorder="1"/>
    <xf numFmtId="0" fontId="2" fillId="4" borderId="5" xfId="0" applyFont="1" applyFill="1" applyBorder="1" applyAlignment="1">
      <alignment horizontal="center" vertical="center"/>
    </xf>
    <xf numFmtId="2" fontId="0" fillId="0" borderId="4" xfId="0" applyNumberFormat="1" applyBorder="1" applyAlignment="1">
      <alignment horizontal="right"/>
    </xf>
    <xf numFmtId="2" fontId="0" fillId="0" borderId="4" xfId="0" applyNumberFormat="1" applyBorder="1" applyAlignment="1">
      <alignment horizontal="right" vertical="center"/>
    </xf>
    <xf numFmtId="0" fontId="2" fillId="4" borderId="4" xfId="0" applyFont="1" applyFill="1" applyBorder="1"/>
    <xf numFmtId="2" fontId="13" fillId="4" borderId="4" xfId="0" applyNumberFormat="1" applyFont="1" applyFill="1" applyBorder="1"/>
    <xf numFmtId="0" fontId="2" fillId="0" borderId="42" xfId="0" applyFont="1" applyBorder="1" applyAlignment="1">
      <alignment horizontal="center"/>
    </xf>
    <xf numFmtId="0" fontId="2" fillId="2" borderId="5" xfId="0" applyFont="1" applyFill="1" applyBorder="1" applyAlignment="1">
      <alignment horizontal="center"/>
    </xf>
    <xf numFmtId="0" fontId="2" fillId="0" borderId="38" xfId="0" applyFont="1" applyBorder="1" applyAlignment="1">
      <alignment vertical="center"/>
    </xf>
    <xf numFmtId="0" fontId="2" fillId="0" borderId="42" xfId="0" applyFont="1" applyBorder="1" applyAlignment="1">
      <alignment vertical="center"/>
    </xf>
    <xf numFmtId="0" fontId="3" fillId="0" borderId="38" xfId="0" applyFont="1" applyBorder="1" applyAlignment="1">
      <alignment vertical="center"/>
    </xf>
    <xf numFmtId="2" fontId="1" fillId="0" borderId="4" xfId="0" applyNumberFormat="1" applyFont="1" applyBorder="1"/>
    <xf numFmtId="2" fontId="0" fillId="0" borderId="4" xfId="0" applyNumberFormat="1" applyBorder="1" applyAlignment="1">
      <alignment horizontal="center"/>
    </xf>
    <xf numFmtId="0" fontId="1" fillId="0" borderId="42" xfId="0" applyFont="1" applyBorder="1"/>
    <xf numFmtId="0" fontId="0" fillId="0" borderId="5" xfId="0" applyBorder="1" applyAlignment="1">
      <alignment horizontal="center"/>
    </xf>
    <xf numFmtId="2" fontId="2" fillId="0" borderId="4" xfId="0" applyNumberFormat="1" applyFont="1" applyBorder="1"/>
    <xf numFmtId="2" fontId="13" fillId="4" borderId="7" xfId="0" applyNumberFormat="1" applyFont="1" applyFill="1" applyBorder="1"/>
    <xf numFmtId="2" fontId="46" fillId="9" borderId="13" xfId="0" applyNumberFormat="1" applyFont="1" applyFill="1" applyBorder="1" applyAlignment="1">
      <alignment horizontal="right" vertical="center"/>
    </xf>
    <xf numFmtId="172" fontId="0" fillId="0" borderId="0" xfId="0" applyNumberFormat="1"/>
    <xf numFmtId="173" fontId="0" fillId="0" borderId="0" xfId="0" applyNumberFormat="1"/>
    <xf numFmtId="0" fontId="46" fillId="9" borderId="22" xfId="0" applyFont="1" applyFill="1" applyBorder="1" applyAlignment="1">
      <alignment vertical="center"/>
    </xf>
    <xf numFmtId="0" fontId="46" fillId="9" borderId="31" xfId="0" applyFont="1" applyFill="1" applyBorder="1" applyAlignment="1">
      <alignment vertical="center"/>
    </xf>
    <xf numFmtId="174" fontId="0" fillId="0" borderId="1" xfId="0" applyNumberFormat="1" applyBorder="1" applyAlignment="1">
      <alignment horizontal="center" vertical="center"/>
    </xf>
    <xf numFmtId="174" fontId="13" fillId="0" borderId="1" xfId="0" applyNumberFormat="1" applyFont="1" applyBorder="1" applyAlignment="1">
      <alignment horizontal="center" vertical="center"/>
    </xf>
    <xf numFmtId="0" fontId="0" fillId="0" borderId="1" xfId="0" applyBorder="1" applyAlignment="1">
      <alignment vertical="center"/>
    </xf>
    <xf numFmtId="0" fontId="0" fillId="10" borderId="1" xfId="0" applyFill="1" applyBorder="1" applyAlignment="1">
      <alignment horizontal="center" vertical="center" wrapText="1"/>
    </xf>
    <xf numFmtId="0" fontId="46" fillId="9" borderId="21" xfId="0" applyFont="1" applyFill="1" applyBorder="1" applyAlignment="1">
      <alignment horizontal="center" vertical="center"/>
    </xf>
    <xf numFmtId="0" fontId="0" fillId="10" borderId="1" xfId="0" quotePrefix="1" applyFill="1" applyBorder="1" applyAlignment="1">
      <alignment horizontal="right" vertical="center" wrapText="1"/>
    </xf>
    <xf numFmtId="43" fontId="0" fillId="10" borderId="1" xfId="0" applyNumberFormat="1" applyFill="1" applyBorder="1" applyAlignment="1">
      <alignment horizontal="right" vertical="center"/>
    </xf>
    <xf numFmtId="0" fontId="0" fillId="10" borderId="71" xfId="0" applyFill="1" applyBorder="1" applyAlignment="1">
      <alignment horizontal="center" vertical="center"/>
    </xf>
    <xf numFmtId="4" fontId="1" fillId="0" borderId="77" xfId="0" applyNumberFormat="1" applyFont="1" applyBorder="1" applyAlignment="1">
      <alignment horizontal="center" vertical="center" wrapText="1"/>
    </xf>
    <xf numFmtId="1" fontId="7" fillId="10" borderId="77" xfId="0" applyNumberFormat="1" applyFont="1" applyFill="1" applyBorder="1" applyAlignment="1">
      <alignment horizontal="center" vertical="center" wrapText="1"/>
    </xf>
    <xf numFmtId="1" fontId="7" fillId="10" borderId="10"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51" fillId="3" borderId="1" xfId="0" applyNumberFormat="1" applyFont="1" applyFill="1" applyBorder="1" applyAlignment="1">
      <alignment horizontal="center" vertical="center" wrapText="1"/>
    </xf>
    <xf numFmtId="1" fontId="52" fillId="10" borderId="1" xfId="0" applyNumberFormat="1" applyFont="1" applyFill="1" applyBorder="1" applyAlignment="1">
      <alignment horizontal="center" vertical="center" wrapText="1"/>
    </xf>
    <xf numFmtId="2" fontId="15" fillId="0" borderId="1" xfId="0" applyNumberFormat="1" applyFont="1" applyBorder="1" applyAlignment="1">
      <alignment horizontal="center" vertical="center"/>
    </xf>
    <xf numFmtId="0" fontId="18" fillId="6" borderId="70" xfId="0" applyFont="1" applyFill="1" applyBorder="1" applyAlignment="1">
      <alignment horizontal="center" vertical="center" wrapText="1"/>
    </xf>
    <xf numFmtId="0" fontId="17" fillId="6" borderId="70" xfId="0" applyFont="1" applyFill="1" applyBorder="1" applyAlignment="1">
      <alignment horizontal="center" vertical="center" wrapText="1"/>
    </xf>
    <xf numFmtId="0" fontId="17" fillId="6" borderId="70" xfId="0" applyFont="1" applyFill="1" applyBorder="1" applyAlignment="1">
      <alignment horizontal="center" vertical="center"/>
    </xf>
    <xf numFmtId="0" fontId="15" fillId="6" borderId="70" xfId="0" applyFont="1" applyFill="1" applyBorder="1" applyAlignment="1">
      <alignment horizontal="center" vertical="center"/>
    </xf>
    <xf numFmtId="1" fontId="7" fillId="10" borderId="70" xfId="0" applyNumberFormat="1" applyFont="1" applyFill="1" applyBorder="1" applyAlignment="1">
      <alignment horizontal="center" vertical="center"/>
    </xf>
    <xf numFmtId="2" fontId="7" fillId="0" borderId="70" xfId="0" applyNumberFormat="1" applyFont="1" applyBorder="1" applyAlignment="1">
      <alignment horizontal="center" vertical="center"/>
    </xf>
    <xf numFmtId="0" fontId="44" fillId="0" borderId="1" xfId="0" applyFont="1" applyBorder="1" applyAlignment="1">
      <alignment horizontal="justify" vertical="center"/>
    </xf>
    <xf numFmtId="4" fontId="0" fillId="0" borderId="1" xfId="0" applyNumberFormat="1" applyBorder="1" applyAlignment="1">
      <alignment vertical="center" wrapText="1"/>
    </xf>
    <xf numFmtId="0" fontId="53" fillId="0" borderId="1" xfId="0" applyFont="1" applyBorder="1" applyAlignment="1">
      <alignment horizontal="center" vertical="center"/>
    </xf>
    <xf numFmtId="0" fontId="53" fillId="0" borderId="46" xfId="0" applyFont="1" applyBorder="1" applyAlignment="1">
      <alignment horizontal="center" vertical="center"/>
    </xf>
    <xf numFmtId="0" fontId="53" fillId="10" borderId="46" xfId="0" applyFont="1" applyFill="1" applyBorder="1" applyAlignment="1">
      <alignment horizontal="center" vertical="center"/>
    </xf>
    <xf numFmtId="0" fontId="53" fillId="10" borderId="1" xfId="0" applyFont="1" applyFill="1" applyBorder="1" applyAlignment="1">
      <alignment horizontal="center" vertical="center"/>
    </xf>
    <xf numFmtId="0" fontId="1" fillId="10" borderId="70" xfId="0" applyFont="1" applyFill="1" applyBorder="1" applyAlignment="1">
      <alignment horizontal="center" vertical="center" wrapText="1"/>
    </xf>
    <xf numFmtId="0" fontId="54" fillId="0" borderId="62" xfId="10" applyBorder="1" applyAlignment="1">
      <alignment horizontal="left" vertical="center" wrapText="1"/>
    </xf>
    <xf numFmtId="4" fontId="1" fillId="0" borderId="62" xfId="0" applyNumberFormat="1" applyFont="1" applyBorder="1" applyAlignment="1">
      <alignment horizontal="center" vertical="center" wrapText="1"/>
    </xf>
    <xf numFmtId="2" fontId="0" fillId="0" borderId="4" xfId="0" applyNumberFormat="1" applyBorder="1" applyAlignment="1">
      <alignment horizontal="center" vertical="center"/>
    </xf>
    <xf numFmtId="2" fontId="13" fillId="0" borderId="7" xfId="0" applyNumberFormat="1" applyFont="1" applyBorder="1" applyAlignment="1">
      <alignment horizontal="center" vertical="center"/>
    </xf>
    <xf numFmtId="0" fontId="5" fillId="0" borderId="0" xfId="0" applyFont="1" applyAlignment="1">
      <alignment horizontal="center" vertical="center" wrapText="1"/>
    </xf>
    <xf numFmtId="44" fontId="2" fillId="0" borderId="46"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xf numFmtId="44" fontId="2" fillId="0" borderId="4" xfId="0" applyNumberFormat="1" applyFont="1" applyBorder="1" applyAlignment="1">
      <alignment horizontal="center"/>
    </xf>
    <xf numFmtId="0" fontId="0" fillId="0" borderId="4" xfId="0" applyBorder="1" applyAlignment="1">
      <alignment horizontal="center" vertical="center"/>
    </xf>
    <xf numFmtId="0" fontId="44" fillId="19" borderId="46" xfId="0" applyFont="1" applyFill="1" applyBorder="1" applyAlignment="1">
      <alignment horizontal="justify" vertical="center"/>
    </xf>
    <xf numFmtId="0" fontId="44" fillId="19" borderId="1" xfId="0" applyFont="1" applyFill="1" applyBorder="1" applyAlignment="1">
      <alignment horizontal="justify" vertical="center"/>
    </xf>
    <xf numFmtId="0" fontId="0" fillId="19" borderId="1" xfId="0" applyFill="1" applyBorder="1" applyAlignment="1">
      <alignment vertical="center" wrapText="1"/>
    </xf>
    <xf numFmtId="0" fontId="44" fillId="0" borderId="1" xfId="0" applyFont="1" applyBorder="1"/>
    <xf numFmtId="0" fontId="55" fillId="0" borderId="1" xfId="0" applyFont="1" applyBorder="1" applyAlignment="1">
      <alignment horizontal="justify" vertical="center" wrapText="1"/>
    </xf>
    <xf numFmtId="0" fontId="55" fillId="0" borderId="46" xfId="0" applyFont="1" applyBorder="1" applyAlignment="1">
      <alignment horizontal="justify" vertical="center" wrapText="1"/>
    </xf>
    <xf numFmtId="0" fontId="55" fillId="0" borderId="1" xfId="0" applyFont="1" applyBorder="1" applyAlignment="1">
      <alignment vertical="center" wrapText="1"/>
    </xf>
    <xf numFmtId="0" fontId="2" fillId="0" borderId="1" xfId="0" applyFont="1" applyBorder="1" applyAlignment="1">
      <alignment vertical="center" wrapText="1"/>
    </xf>
    <xf numFmtId="0" fontId="2" fillId="0" borderId="70" xfId="0" applyFont="1" applyBorder="1" applyAlignment="1">
      <alignment vertical="center" wrapText="1"/>
    </xf>
    <xf numFmtId="8" fontId="15" fillId="0" borderId="1" xfId="0" applyNumberFormat="1" applyFont="1" applyBorder="1" applyAlignment="1">
      <alignment horizontal="center" vertical="center"/>
    </xf>
    <xf numFmtId="8" fontId="0" fillId="0" borderId="70" xfId="0" applyNumberFormat="1" applyBorder="1" applyAlignment="1">
      <alignment horizontal="center" vertical="center"/>
    </xf>
    <xf numFmtId="8" fontId="15" fillId="0" borderId="41" xfId="0" applyNumberFormat="1" applyFont="1" applyBorder="1" applyAlignment="1">
      <alignment horizontal="center" vertical="center"/>
    </xf>
    <xf numFmtId="0" fontId="46" fillId="10" borderId="21" xfId="0" applyFont="1" applyFill="1" applyBorder="1" applyAlignment="1">
      <alignment horizontal="center" vertical="center"/>
    </xf>
    <xf numFmtId="0" fontId="53" fillId="0" borderId="70" xfId="0" applyFont="1" applyBorder="1" applyAlignment="1">
      <alignment horizontal="center" vertical="center"/>
    </xf>
    <xf numFmtId="8" fontId="15" fillId="0" borderId="62" xfId="0" applyNumberFormat="1" applyFont="1" applyBorder="1" applyAlignment="1">
      <alignment horizontal="center" vertical="center"/>
    </xf>
    <xf numFmtId="0" fontId="53" fillId="0" borderId="1" xfId="0" applyFont="1" applyBorder="1" applyAlignment="1">
      <alignment horizontal="center" vertical="center" wrapText="1"/>
    </xf>
    <xf numFmtId="0" fontId="44" fillId="0" borderId="1" xfId="0" applyFont="1" applyBorder="1" applyAlignment="1">
      <alignment horizontal="center" vertical="center" wrapText="1"/>
    </xf>
    <xf numFmtId="0" fontId="56" fillId="10" borderId="1" xfId="0" applyFont="1" applyFill="1" applyBorder="1" applyAlignment="1">
      <alignment horizontal="center" vertical="center"/>
    </xf>
    <xf numFmtId="2" fontId="0" fillId="10" borderId="1" xfId="0" quotePrefix="1" applyNumberFormat="1" applyFill="1" applyBorder="1" applyAlignment="1">
      <alignment horizontal="right" vertical="center" wrapText="1"/>
    </xf>
    <xf numFmtId="0" fontId="0" fillId="0" borderId="0" xfId="0" applyAlignment="1">
      <alignment horizontal="justify" vertical="center" wrapText="1"/>
    </xf>
    <xf numFmtId="8" fontId="15" fillId="19" borderId="1" xfId="0" applyNumberFormat="1" applyFont="1" applyFill="1" applyBorder="1"/>
    <xf numFmtId="0" fontId="18" fillId="6" borderId="76" xfId="0" applyFont="1" applyFill="1" applyBorder="1" applyAlignment="1">
      <alignment horizontal="center" vertical="center" wrapText="1"/>
    </xf>
    <xf numFmtId="0" fontId="17" fillId="6" borderId="48" xfId="0" applyFont="1" applyFill="1" applyBorder="1" applyAlignment="1">
      <alignment horizontal="center" vertical="center" wrapText="1"/>
    </xf>
    <xf numFmtId="0" fontId="17" fillId="6" borderId="62" xfId="0" applyFont="1" applyFill="1" applyBorder="1" applyAlignment="1">
      <alignment horizontal="center" vertical="center"/>
    </xf>
    <xf numFmtId="2" fontId="0" fillId="0" borderId="81" xfId="0" applyNumberFormat="1" applyBorder="1" applyAlignment="1">
      <alignment horizontal="center" vertical="center"/>
    </xf>
    <xf numFmtId="0" fontId="58" fillId="0" borderId="1" xfId="0" applyFont="1" applyBorder="1" applyAlignment="1">
      <alignment horizontal="left" vertical="center" wrapText="1"/>
    </xf>
    <xf numFmtId="0" fontId="59" fillId="0" borderId="1" xfId="0" applyFont="1" applyBorder="1" applyAlignment="1">
      <alignment vertical="center" wrapText="1"/>
    </xf>
    <xf numFmtId="0" fontId="60" fillId="0" borderId="1" xfId="0" applyFont="1" applyBorder="1" applyAlignment="1">
      <alignment wrapText="1"/>
    </xf>
    <xf numFmtId="0" fontId="58" fillId="0" borderId="26" xfId="0" applyFont="1" applyBorder="1" applyAlignment="1">
      <alignment horizontal="left" vertical="center" wrapText="1"/>
    </xf>
    <xf numFmtId="0" fontId="53" fillId="0" borderId="82" xfId="0" applyFont="1" applyBorder="1" applyAlignment="1">
      <alignment horizontal="center" vertical="center"/>
    </xf>
    <xf numFmtId="0" fontId="57" fillId="0" borderId="70" xfId="0" applyFont="1" applyBorder="1" applyAlignment="1">
      <alignment vertical="center" wrapText="1"/>
    </xf>
    <xf numFmtId="0" fontId="17" fillId="6" borderId="49" xfId="0" applyFont="1" applyFill="1" applyBorder="1" applyAlignment="1">
      <alignment horizontal="center" vertical="center"/>
    </xf>
    <xf numFmtId="2" fontId="44" fillId="10" borderId="1" xfId="0" applyNumberFormat="1" applyFont="1" applyFill="1" applyBorder="1" applyAlignment="1">
      <alignment horizontal="center" vertical="center"/>
    </xf>
    <xf numFmtId="2" fontId="44" fillId="10" borderId="27" xfId="0" applyNumberFormat="1" applyFont="1" applyFill="1" applyBorder="1" applyAlignment="1">
      <alignment horizontal="center" vertical="center"/>
    </xf>
    <xf numFmtId="8" fontId="15" fillId="19" borderId="46" xfId="0" applyNumberFormat="1" applyFont="1" applyFill="1" applyBorder="1"/>
    <xf numFmtId="8" fontId="15" fillId="0" borderId="46" xfId="0" applyNumberFormat="1" applyFont="1" applyBorder="1"/>
    <xf numFmtId="0" fontId="15" fillId="0" borderId="1" xfId="0" applyFont="1" applyBorder="1"/>
    <xf numFmtId="8" fontId="15" fillId="0" borderId="1" xfId="0" applyNumberFormat="1" applyFont="1" applyBorder="1"/>
    <xf numFmtId="8" fontId="0" fillId="0" borderId="0" xfId="0" applyNumberFormat="1"/>
    <xf numFmtId="169" fontId="15" fillId="19" borderId="1" xfId="0" applyNumberFormat="1" applyFont="1" applyFill="1" applyBorder="1" applyAlignment="1">
      <alignment horizontal="center" vertical="center"/>
    </xf>
    <xf numFmtId="169" fontId="15" fillId="0" borderId="1" xfId="0" applyNumberFormat="1" applyFont="1" applyBorder="1" applyAlignment="1">
      <alignment horizontal="center" vertical="center"/>
    </xf>
    <xf numFmtId="169" fontId="15" fillId="0" borderId="70" xfId="0" applyNumberFormat="1" applyFont="1" applyBorder="1" applyAlignment="1">
      <alignment horizontal="center" vertical="center"/>
    </xf>
    <xf numFmtId="169" fontId="15" fillId="19" borderId="70" xfId="0" applyNumberFormat="1" applyFont="1" applyFill="1" applyBorder="1" applyAlignment="1">
      <alignment horizontal="center" vertical="center"/>
    </xf>
    <xf numFmtId="169" fontId="15" fillId="0" borderId="62" xfId="0" applyNumberFormat="1" applyFont="1" applyBorder="1" applyAlignment="1">
      <alignment horizontal="center" vertical="center"/>
    </xf>
    <xf numFmtId="169" fontId="15" fillId="19" borderId="62" xfId="0" applyNumberFormat="1" applyFont="1" applyFill="1" applyBorder="1"/>
    <xf numFmtId="8" fontId="0" fillId="19" borderId="10" xfId="0" applyNumberFormat="1" applyFill="1" applyBorder="1" applyAlignment="1">
      <alignment horizontal="center" vertical="center"/>
    </xf>
    <xf numFmtId="8" fontId="0" fillId="0" borderId="10" xfId="0" applyNumberFormat="1" applyBorder="1" applyAlignment="1">
      <alignment horizontal="center" vertical="center"/>
    </xf>
    <xf numFmtId="8" fontId="0" fillId="19" borderId="1" xfId="0" applyNumberFormat="1" applyFill="1" applyBorder="1" applyAlignment="1">
      <alignment horizontal="center" vertical="center"/>
    </xf>
    <xf numFmtId="8" fontId="0" fillId="0" borderId="1" xfId="0" applyNumberFormat="1" applyBorder="1" applyAlignment="1">
      <alignment horizontal="center" vertical="center"/>
    </xf>
    <xf numFmtId="8" fontId="0" fillId="0" borderId="0" xfId="0" applyNumberFormat="1" applyAlignment="1">
      <alignment horizontal="center" vertical="center"/>
    </xf>
    <xf numFmtId="169" fontId="15" fillId="0" borderId="10" xfId="0" applyNumberFormat="1" applyFont="1" applyBorder="1" applyAlignment="1">
      <alignment horizontal="center" vertical="center"/>
    </xf>
    <xf numFmtId="169" fontId="0" fillId="0" borderId="70" xfId="0" applyNumberFormat="1" applyBorder="1" applyAlignment="1">
      <alignment horizontal="center" vertical="center"/>
    </xf>
    <xf numFmtId="0" fontId="2" fillId="4"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4" xfId="0" applyFont="1" applyFill="1" applyBorder="1" applyAlignment="1">
      <alignment horizontal="center" vertical="center" wrapText="1"/>
    </xf>
    <xf numFmtId="14" fontId="1" fillId="0" borderId="1" xfId="0" applyNumberFormat="1" applyFont="1" applyBorder="1" applyAlignment="1">
      <alignment horizontal="center" vertical="center"/>
    </xf>
    <xf numFmtId="175" fontId="1" fillId="0" borderId="1" xfId="1" applyNumberFormat="1" applyFill="1" applyBorder="1" applyAlignment="1">
      <alignment horizontal="center"/>
    </xf>
    <xf numFmtId="9" fontId="63" fillId="0" borderId="1" xfId="2" applyFont="1" applyFill="1" applyBorder="1" applyAlignment="1">
      <alignment horizontal="center" vertical="center"/>
    </xf>
    <xf numFmtId="0" fontId="63" fillId="0" borderId="4" xfId="0" applyFont="1" applyBorder="1" applyAlignment="1">
      <alignment horizontal="center"/>
    </xf>
    <xf numFmtId="169" fontId="0" fillId="0" borderId="75" xfId="0" applyNumberFormat="1" applyBorder="1" applyAlignment="1">
      <alignment horizontal="center" vertical="center"/>
    </xf>
    <xf numFmtId="169" fontId="13" fillId="0" borderId="50" xfId="0" applyNumberFormat="1" applyFont="1" applyBorder="1" applyAlignment="1">
      <alignment horizontal="center" vertical="center"/>
    </xf>
    <xf numFmtId="0" fontId="2" fillId="0" borderId="75" xfId="0" applyFont="1" applyBorder="1" applyAlignment="1">
      <alignment horizont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7" xfId="0" applyNumberFormat="1" applyFont="1" applyBorder="1" applyAlignment="1">
      <alignment horizontal="center" vertical="center"/>
    </xf>
    <xf numFmtId="0" fontId="47" fillId="16" borderId="1" xfId="0" applyFont="1" applyFill="1" applyBorder="1" applyAlignment="1">
      <alignment horizontal="center" vertical="center"/>
    </xf>
    <xf numFmtId="0" fontId="47" fillId="16" borderId="4" xfId="0" applyFont="1" applyFill="1" applyBorder="1" applyAlignment="1">
      <alignment horizontal="center"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58" fillId="10" borderId="5" xfId="0" applyFont="1" applyFill="1" applyBorder="1" applyAlignment="1">
      <alignment horizontal="left" vertical="center"/>
    </xf>
    <xf numFmtId="0" fontId="0" fillId="10" borderId="1" xfId="0" applyFill="1" applyBorder="1" applyAlignment="1">
      <alignment horizontal="left" vertical="center"/>
    </xf>
    <xf numFmtId="0" fontId="0" fillId="10" borderId="5" xfId="0" applyFill="1" applyBorder="1" applyAlignment="1">
      <alignment horizontal="left" vertical="center"/>
    </xf>
    <xf numFmtId="0" fontId="0" fillId="0" borderId="1" xfId="0" applyBorder="1" applyAlignment="1">
      <alignment horizontal="left"/>
    </xf>
    <xf numFmtId="0" fontId="1" fillId="0" borderId="1" xfId="0" applyFont="1" applyBorder="1" applyAlignment="1">
      <alignment horizontal="left"/>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0" fillId="0" borderId="5"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 fillId="0" borderId="26" xfId="0" applyFont="1" applyBorder="1" applyAlignment="1">
      <alignment horizontal="center" vertical="center" wrapText="1"/>
    </xf>
    <xf numFmtId="0" fontId="0" fillId="10" borderId="70" xfId="0" applyFill="1" applyBorder="1" applyAlignment="1">
      <alignment horizontal="center" vertical="center"/>
    </xf>
    <xf numFmtId="0" fontId="2" fillId="0" borderId="5" xfId="0" applyFont="1" applyBorder="1" applyAlignment="1">
      <alignment horizontal="center"/>
    </xf>
    <xf numFmtId="0" fontId="2" fillId="0" borderId="1" xfId="0" applyFont="1" applyBorder="1" applyAlignment="1">
      <alignment horizontal="center"/>
    </xf>
    <xf numFmtId="0" fontId="2" fillId="0" borderId="62" xfId="0" applyFont="1" applyBorder="1" applyAlignment="1">
      <alignment horizontal="center"/>
    </xf>
    <xf numFmtId="0" fontId="2" fillId="0" borderId="4" xfId="0" applyFont="1" applyBorder="1" applyAlignment="1">
      <alignment horizontal="center"/>
    </xf>
    <xf numFmtId="0" fontId="1" fillId="0" borderId="1" xfId="0" applyFont="1" applyBorder="1" applyAlignment="1">
      <alignment horizontal="left" vertical="center"/>
    </xf>
    <xf numFmtId="0" fontId="2" fillId="5" borderId="5" xfId="0" applyFont="1" applyFill="1" applyBorder="1" applyAlignment="1">
      <alignment horizontal="center"/>
    </xf>
    <xf numFmtId="0" fontId="2" fillId="5" borderId="1" xfId="0" applyFont="1" applyFill="1" applyBorder="1" applyAlignment="1">
      <alignment horizontal="center"/>
    </xf>
    <xf numFmtId="0" fontId="2" fillId="5" borderId="4" xfId="0" applyFont="1" applyFill="1" applyBorder="1" applyAlignment="1">
      <alignment horizontal="center"/>
    </xf>
    <xf numFmtId="0" fontId="24" fillId="0" borderId="26" xfId="0" applyFont="1" applyBorder="1" applyAlignment="1">
      <alignment horizontal="center"/>
    </xf>
    <xf numFmtId="0" fontId="24" fillId="0" borderId="12" xfId="0" applyFont="1" applyBorder="1" applyAlignment="1">
      <alignment horizontal="center"/>
    </xf>
    <xf numFmtId="0" fontId="24" fillId="0" borderId="27" xfId="0" applyFont="1" applyBorder="1" applyAlignment="1">
      <alignment horizontal="center"/>
    </xf>
    <xf numFmtId="0" fontId="13" fillId="4" borderId="5" xfId="0" applyFont="1" applyFill="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wrapText="1"/>
    </xf>
    <xf numFmtId="0" fontId="0" fillId="0" borderId="1" xfId="0" applyBorder="1"/>
    <xf numFmtId="0" fontId="20" fillId="0" borderId="1" xfId="0" applyFont="1" applyBorder="1"/>
    <xf numFmtId="0" fontId="0" fillId="0" borderId="1" xfId="0" applyBorder="1" applyAlignment="1">
      <alignment wrapText="1"/>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13" fillId="4" borderId="1" xfId="0" applyFont="1" applyFill="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2" borderId="76" xfId="0" applyFont="1" applyFill="1" applyBorder="1" applyAlignment="1">
      <alignment horizontal="center"/>
    </xf>
    <xf numFmtId="0" fontId="18" fillId="0" borderId="1" xfId="0" applyFont="1" applyBorder="1" applyAlignment="1">
      <alignment horizontal="left"/>
    </xf>
    <xf numFmtId="0" fontId="2" fillId="0" borderId="28" xfId="0" applyFont="1" applyBorder="1" applyAlignment="1">
      <alignment horizontal="center"/>
    </xf>
    <xf numFmtId="0" fontId="2" fillId="0" borderId="12" xfId="0" applyFont="1" applyBorder="1" applyAlignment="1">
      <alignment horizontal="center"/>
    </xf>
    <xf numFmtId="0" fontId="2" fillId="0" borderId="71" xfId="0" applyFont="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4" borderId="28" xfId="0" applyFont="1" applyFill="1" applyBorder="1" applyAlignment="1">
      <alignment horizontal="center"/>
    </xf>
    <xf numFmtId="0" fontId="2" fillId="0" borderId="1" xfId="0" applyFont="1" applyBorder="1" applyAlignment="1">
      <alignment horizontal="left"/>
    </xf>
    <xf numFmtId="0" fontId="13" fillId="4" borderId="6" xfId="0" applyFont="1" applyFill="1" applyBorder="1" applyAlignment="1">
      <alignment horizontal="center"/>
    </xf>
    <xf numFmtId="0" fontId="13" fillId="4" borderId="47" xfId="0" applyFont="1" applyFill="1" applyBorder="1" applyAlignment="1">
      <alignment horizontal="center"/>
    </xf>
    <xf numFmtId="0" fontId="49" fillId="9" borderId="22" xfId="0" applyFont="1" applyFill="1" applyBorder="1" applyAlignment="1">
      <alignment horizontal="center" vertical="center"/>
    </xf>
    <xf numFmtId="0" fontId="49" fillId="9" borderId="20" xfId="0" applyFont="1" applyFill="1" applyBorder="1" applyAlignment="1">
      <alignment horizontal="center" vertical="center"/>
    </xf>
    <xf numFmtId="0" fontId="46" fillId="9" borderId="21" xfId="0" applyFont="1" applyFill="1" applyBorder="1" applyAlignment="1">
      <alignment horizontal="center" vertical="center"/>
    </xf>
    <xf numFmtId="0" fontId="46" fillId="9" borderId="74" xfId="0" applyFont="1" applyFill="1" applyBorder="1" applyAlignment="1">
      <alignment horizontal="center"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wrapText="1"/>
    </xf>
    <xf numFmtId="169" fontId="48" fillId="9" borderId="22" xfId="0" applyNumberFormat="1" applyFont="1" applyFill="1" applyBorder="1" applyAlignment="1">
      <alignment horizontal="center" vertical="center"/>
    </xf>
    <xf numFmtId="169" fontId="48" fillId="9" borderId="20" xfId="0" applyNumberFormat="1" applyFont="1" applyFill="1" applyBorder="1" applyAlignment="1">
      <alignment horizontal="center" vertical="center"/>
    </xf>
    <xf numFmtId="0" fontId="46" fillId="9" borderId="51" xfId="0" applyFont="1" applyFill="1" applyBorder="1" applyAlignment="1">
      <alignment horizontal="center" vertical="center"/>
    </xf>
    <xf numFmtId="0" fontId="46" fillId="9" borderId="56" xfId="0" applyFont="1" applyFill="1" applyBorder="1" applyAlignment="1">
      <alignment horizontal="center" vertical="center"/>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2" fillId="0" borderId="1" xfId="0" applyFont="1" applyBorder="1" applyAlignment="1">
      <alignment horizontal="center" vertical="center" wrapText="1"/>
    </xf>
    <xf numFmtId="0" fontId="0" fillId="0" borderId="1" xfId="0" applyBorder="1" applyAlignment="1">
      <alignment horizontal="justify" vertical="justify" wrapText="1"/>
    </xf>
    <xf numFmtId="0" fontId="0" fillId="0" borderId="1" xfId="0" applyBorder="1" applyAlignment="1">
      <alignment horizontal="justify" vertical="justify"/>
    </xf>
    <xf numFmtId="0" fontId="13" fillId="0" borderId="33" xfId="0" applyFont="1" applyBorder="1" applyAlignment="1">
      <alignment vertical="center" wrapText="1"/>
    </xf>
    <xf numFmtId="0" fontId="30" fillId="0" borderId="34" xfId="0" applyFont="1" applyBorder="1" applyAlignment="1">
      <alignment vertical="center" wrapText="1"/>
    </xf>
    <xf numFmtId="0" fontId="30" fillId="0" borderId="35" xfId="0" applyFont="1" applyBorder="1" applyAlignment="1">
      <alignment vertical="center" wrapText="1"/>
    </xf>
    <xf numFmtId="0" fontId="30" fillId="0" borderId="23" xfId="0" applyFont="1" applyBorder="1" applyAlignment="1">
      <alignment vertical="center" wrapText="1"/>
    </xf>
    <xf numFmtId="0" fontId="30" fillId="0" borderId="24" xfId="0" applyFont="1" applyBorder="1" applyAlignment="1">
      <alignment vertical="center" wrapText="1"/>
    </xf>
    <xf numFmtId="0" fontId="30" fillId="0" borderId="25" xfId="0" applyFont="1" applyBorder="1" applyAlignment="1">
      <alignment vertical="center" wrapText="1"/>
    </xf>
    <xf numFmtId="0" fontId="13" fillId="0" borderId="39" xfId="0" applyFont="1" applyBorder="1" applyAlignment="1">
      <alignment wrapText="1"/>
    </xf>
    <xf numFmtId="0" fontId="13" fillId="0" borderId="34" xfId="0" applyFont="1" applyBorder="1" applyAlignment="1">
      <alignment wrapText="1"/>
    </xf>
    <xf numFmtId="0" fontId="13" fillId="0" borderId="76" xfId="0" applyFont="1" applyBorder="1" applyAlignment="1">
      <alignment wrapText="1"/>
    </xf>
    <xf numFmtId="0" fontId="13" fillId="0" borderId="84" xfId="0" applyFont="1" applyBorder="1" applyAlignment="1">
      <alignment wrapText="1"/>
    </xf>
    <xf numFmtId="0" fontId="13" fillId="0" borderId="78" xfId="0" applyFont="1" applyBorder="1" applyAlignment="1">
      <alignment wrapText="1"/>
    </xf>
    <xf numFmtId="0" fontId="13" fillId="0" borderId="85" xfId="0" applyFont="1" applyBorder="1" applyAlignment="1">
      <alignment wrapText="1"/>
    </xf>
    <xf numFmtId="0" fontId="2" fillId="0" borderId="28" xfId="0" applyFont="1" applyBorder="1" applyAlignment="1">
      <alignment horizontal="center" vertical="center"/>
    </xf>
    <xf numFmtId="0" fontId="2" fillId="0" borderId="12" xfId="0" applyFont="1" applyBorder="1" applyAlignment="1">
      <alignment horizontal="center" vertical="center" wrapText="1"/>
    </xf>
    <xf numFmtId="0" fontId="2" fillId="0" borderId="27" xfId="0" applyFont="1" applyBorder="1" applyAlignment="1">
      <alignment horizontal="center" vertical="center" wrapText="1"/>
    </xf>
    <xf numFmtId="0" fontId="0" fillId="0" borderId="28" xfId="0" applyBorder="1" applyAlignment="1">
      <alignment horizontal="center" vertical="center"/>
    </xf>
    <xf numFmtId="0" fontId="0" fillId="0" borderId="12" xfId="0" applyBorder="1" applyAlignment="1">
      <alignment horizontal="center" vertical="center"/>
    </xf>
    <xf numFmtId="0" fontId="0" fillId="0" borderId="27" xfId="0" applyBorder="1" applyAlignment="1">
      <alignment horizontal="center" vertical="center"/>
    </xf>
    <xf numFmtId="0" fontId="0" fillId="0" borderId="12" xfId="0" applyBorder="1" applyAlignment="1">
      <alignment horizontal="center" vertical="center" wrapText="1"/>
    </xf>
    <xf numFmtId="0" fontId="0" fillId="0" borderId="27" xfId="0" applyBorder="1" applyAlignment="1">
      <alignment horizontal="center" vertical="center" wrapText="1"/>
    </xf>
    <xf numFmtId="169" fontId="0" fillId="0" borderId="12" xfId="0" applyNumberFormat="1" applyBorder="1" applyAlignment="1">
      <alignment horizontal="center" vertical="center"/>
    </xf>
    <xf numFmtId="0" fontId="2" fillId="0" borderId="79" xfId="0" applyFont="1" applyBorder="1"/>
    <xf numFmtId="0" fontId="2" fillId="0" borderId="16" xfId="0" applyFont="1" applyBorder="1"/>
    <xf numFmtId="0" fontId="2" fillId="0" borderId="30" xfId="0" applyFont="1" applyBorder="1"/>
    <xf numFmtId="0" fontId="44" fillId="10" borderId="5" xfId="0" applyFont="1" applyFill="1" applyBorder="1" applyAlignment="1">
      <alignment horizontal="left" vertical="center"/>
    </xf>
    <xf numFmtId="0" fontId="62" fillId="0" borderId="54" xfId="0" applyFont="1" applyBorder="1" applyAlignment="1">
      <alignment horizontal="center" vertical="center"/>
    </xf>
    <xf numFmtId="0" fontId="62" fillId="0" borderId="15" xfId="0" applyFont="1" applyBorder="1" applyAlignment="1">
      <alignment horizontal="center" vertical="center"/>
    </xf>
    <xf numFmtId="0" fontId="62" fillId="0" borderId="55" xfId="0" applyFont="1" applyBorder="1" applyAlignment="1">
      <alignment horizontal="center" vertical="center"/>
    </xf>
    <xf numFmtId="0" fontId="2" fillId="4" borderId="28"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4" borderId="27" xfId="0" applyFont="1" applyFill="1" applyBorder="1" applyAlignment="1">
      <alignment horizontal="center" vertical="center" wrapText="1"/>
    </xf>
    <xf numFmtId="44" fontId="63" fillId="10" borderId="1" xfId="2" applyNumberFormat="1" applyFont="1" applyFill="1" applyBorder="1" applyAlignment="1">
      <alignment horizontal="center" vertical="center"/>
    </xf>
    <xf numFmtId="0" fontId="0" fillId="0" borderId="28" xfId="0" applyBorder="1" applyAlignment="1">
      <alignment horizontal="center"/>
    </xf>
    <xf numFmtId="0" fontId="0" fillId="0" borderId="12" xfId="0" applyBorder="1" applyAlignment="1">
      <alignment horizontal="center"/>
    </xf>
    <xf numFmtId="0" fontId="0" fillId="0" borderId="27" xfId="0" applyBorder="1" applyAlignment="1">
      <alignment horizontal="center"/>
    </xf>
    <xf numFmtId="0" fontId="36" fillId="10" borderId="5" xfId="0" applyFont="1" applyFill="1" applyBorder="1" applyAlignment="1">
      <alignment horizontal="left" vertical="center"/>
    </xf>
    <xf numFmtId="0" fontId="2" fillId="0" borderId="6" xfId="0" applyFont="1" applyBorder="1" applyAlignment="1">
      <alignment horizontal="center"/>
    </xf>
    <xf numFmtId="0" fontId="2" fillId="0" borderId="47" xfId="0" applyFont="1" applyBorder="1" applyAlignment="1">
      <alignment horizontal="center"/>
    </xf>
    <xf numFmtId="0" fontId="13" fillId="0" borderId="57" xfId="0" applyFont="1" applyBorder="1" applyAlignment="1">
      <alignment horizontal="center" vertical="center" wrapText="1"/>
    </xf>
    <xf numFmtId="0" fontId="30" fillId="0" borderId="59" xfId="0" applyFont="1" applyBorder="1" applyAlignment="1">
      <alignment horizontal="center" vertical="center" wrapText="1"/>
    </xf>
    <xf numFmtId="0" fontId="30" fillId="0" borderId="58"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75" xfId="0"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7" fillId="4" borderId="22" xfId="0" applyFont="1" applyFill="1" applyBorder="1" applyAlignment="1">
      <alignment horizontal="center" vertical="center"/>
    </xf>
    <xf numFmtId="0" fontId="0" fillId="0" borderId="0" xfId="0" applyAlignment="1">
      <alignment horizontal="left" vertical="top" wrapText="1"/>
    </xf>
    <xf numFmtId="0" fontId="5" fillId="0" borderId="0" xfId="0" applyFont="1" applyAlignment="1">
      <alignment horizontal="center"/>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40" fillId="0" borderId="22" xfId="0" applyFont="1" applyBorder="1" applyAlignment="1">
      <alignment horizontal="left" vertical="center" wrapText="1"/>
    </xf>
    <xf numFmtId="0" fontId="40" fillId="0" borderId="20" xfId="0" applyFont="1" applyBorder="1" applyAlignment="1">
      <alignment horizontal="left" vertical="center" wrapText="1"/>
    </xf>
    <xf numFmtId="0" fontId="40"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45" fillId="0" borderId="1" xfId="4" applyFont="1" applyBorder="1" applyAlignment="1" applyProtection="1">
      <alignment horizontal="left" vertical="center" wrapText="1"/>
    </xf>
    <xf numFmtId="3" fontId="42" fillId="7" borderId="1" xfId="0" applyNumberFormat="1" applyFont="1" applyFill="1" applyBorder="1" applyAlignment="1">
      <alignment horizontal="left" vertical="center"/>
    </xf>
    <xf numFmtId="0" fontId="42" fillId="7" borderId="4" xfId="0" applyFont="1" applyFill="1" applyBorder="1" applyAlignment="1">
      <alignment horizontal="left" vertical="center"/>
    </xf>
    <xf numFmtId="3" fontId="42" fillId="0" borderId="47" xfId="0" applyNumberFormat="1" applyFont="1" applyBorder="1" applyAlignment="1">
      <alignment horizontal="left" vertical="center"/>
    </xf>
    <xf numFmtId="0" fontId="42"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29"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2" fillId="0" borderId="47" xfId="0" applyFont="1" applyBorder="1" applyAlignment="1">
      <alignment horizontal="left" vertical="center"/>
    </xf>
    <xf numFmtId="0" fontId="16" fillId="0" borderId="47" xfId="4" applyBorder="1" applyAlignment="1" applyProtection="1">
      <alignment horizontal="left" vertical="center" wrapText="1"/>
    </xf>
    <xf numFmtId="0" fontId="42" fillId="0" borderId="47" xfId="0" applyFont="1" applyBorder="1" applyAlignment="1">
      <alignment horizontal="left" vertical="center" wrapText="1"/>
    </xf>
    <xf numFmtId="0" fontId="42"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3" fillId="7" borderId="1" xfId="4" applyFont="1" applyFill="1" applyBorder="1" applyAlignment="1" applyProtection="1">
      <alignment horizontal="left"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45"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0" fontId="2" fillId="6" borderId="83" xfId="0" applyFont="1" applyFill="1" applyBorder="1" applyAlignment="1">
      <alignment horizontal="center" vertical="center" wrapText="1"/>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5" fillId="4" borderId="22" xfId="0" applyFont="1" applyFill="1" applyBorder="1" applyAlignment="1">
      <alignment horizontal="center" vertical="center"/>
    </xf>
    <xf numFmtId="0" fontId="25" fillId="4" borderId="20" xfId="0" applyFont="1" applyFill="1" applyBorder="1" applyAlignment="1">
      <alignment horizontal="center" vertical="center"/>
    </xf>
    <xf numFmtId="0" fontId="25" fillId="4" borderId="14" xfId="0" applyFont="1" applyFill="1" applyBorder="1" applyAlignment="1">
      <alignment horizontal="center" vertical="center"/>
    </xf>
    <xf numFmtId="0" fontId="1" fillId="0" borderId="57" xfId="0" applyFont="1" applyBorder="1" applyAlignment="1">
      <alignment horizontal="left" vertical="top" wrapText="1"/>
    </xf>
    <xf numFmtId="0" fontId="0" fillId="0" borderId="71" xfId="0" applyBorder="1" applyAlignment="1">
      <alignment horizontal="center" vertical="center"/>
    </xf>
    <xf numFmtId="0" fontId="0" fillId="0" borderId="79" xfId="0" applyBorder="1" applyAlignment="1">
      <alignment horizontal="center"/>
    </xf>
    <xf numFmtId="0" fontId="0" fillId="0" borderId="16" xfId="0" applyBorder="1" applyAlignment="1">
      <alignment horizontal="center"/>
    </xf>
    <xf numFmtId="0" fontId="0" fillId="0" borderId="30" xfId="0" applyBorder="1" applyAlignment="1">
      <alignment horizontal="center"/>
    </xf>
    <xf numFmtId="44" fontId="2" fillId="18" borderId="29" xfId="0" applyNumberFormat="1" applyFont="1" applyFill="1" applyBorder="1" applyAlignment="1">
      <alignment horizontal="center"/>
    </xf>
    <xf numFmtId="44" fontId="2" fillId="18" borderId="80" xfId="0" applyNumberFormat="1" applyFont="1" applyFill="1" applyBorder="1" applyAlignment="1">
      <alignment horizontal="center"/>
    </xf>
    <xf numFmtId="0" fontId="2" fillId="6" borderId="70" xfId="0" applyFont="1" applyFill="1" applyBorder="1" applyAlignment="1">
      <alignment horizontal="center" vertical="center" textRotation="90"/>
    </xf>
    <xf numFmtId="0" fontId="2" fillId="6" borderId="70" xfId="0" applyFont="1" applyFill="1" applyBorder="1" applyAlignment="1">
      <alignment horizontal="center" vertical="center" wrapText="1"/>
    </xf>
    <xf numFmtId="0" fontId="1" fillId="6" borderId="70" xfId="0" applyFont="1" applyFill="1" applyBorder="1" applyAlignment="1">
      <alignment horizontal="center"/>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42" fillId="6" borderId="46" xfId="0" applyFont="1" applyFill="1" applyBorder="1" applyAlignment="1">
      <alignment horizontal="left" vertical="center" wrapText="1"/>
    </xf>
    <xf numFmtId="0" fontId="42" fillId="6" borderId="3" xfId="0" applyFont="1" applyFill="1" applyBorder="1" applyAlignment="1">
      <alignment horizontal="left" vertical="center" wrapText="1"/>
    </xf>
    <xf numFmtId="3" fontId="42" fillId="0" borderId="1" xfId="0" applyNumberFormat="1" applyFont="1" applyBorder="1" applyAlignment="1">
      <alignment horizontal="left" vertical="center"/>
    </xf>
    <xf numFmtId="0" fontId="42" fillId="0" borderId="4" xfId="0" applyFont="1" applyBorder="1" applyAlignment="1">
      <alignment horizontal="left" vertical="center"/>
    </xf>
    <xf numFmtId="0" fontId="42" fillId="6" borderId="1" xfId="0" applyFont="1" applyFill="1" applyBorder="1" applyAlignment="1">
      <alignment horizontal="left" vertical="center" wrapText="1"/>
    </xf>
    <xf numFmtId="0" fontId="42"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2" fillId="6" borderId="70" xfId="0" applyFont="1" applyFill="1"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36" fillId="14" borderId="69" xfId="0" applyNumberFormat="1" applyFont="1" applyFill="1" applyBorder="1" applyAlignment="1">
      <alignment horizontal="center" vertical="center" wrapText="1"/>
    </xf>
    <xf numFmtId="10" fontId="36" fillId="14" borderId="66" xfId="0" applyNumberFormat="1" applyFont="1" applyFill="1" applyBorder="1" applyAlignment="1">
      <alignment horizontal="center" vertical="center" wrapText="1"/>
    </xf>
    <xf numFmtId="0" fontId="39"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cellXfs>
  <cellStyles count="11">
    <cellStyle name="Hiperlink" xfId="4" builtinId="8"/>
    <cellStyle name="Hyperlink" xfId="6" xr:uid="{0C4028F5-2A56-46D9-AFF4-C8897231BF5C}"/>
    <cellStyle name="Moeda" xfId="1" builtinId="4"/>
    <cellStyle name="Normal" xfId="0" builtinId="0"/>
    <cellStyle name="Normal 2" xfId="9" xr:uid="{7BB5D3A6-1FA9-479C-9476-D01781B785E7}"/>
    <cellStyle name="Normal 2 2" xfId="10" xr:uid="{E6C07E97-3951-4CC7-BE8E-BFD9C150B1B9}"/>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66FF33"/>
      <color rgb="FF0000FF"/>
      <color rgb="FFFFFFCC"/>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196</xdr:row>
      <xdr:rowOff>38100</xdr:rowOff>
    </xdr:from>
    <xdr:to>
      <xdr:col>7</xdr:col>
      <xdr:colOff>964143</xdr:colOff>
      <xdr:row>245</xdr:row>
      <xdr:rowOff>30778</xdr:rowOff>
    </xdr:to>
    <xdr:pic>
      <xdr:nvPicPr>
        <xdr:cNvPr id="2" name="Imagem 1">
          <a:extLst>
            <a:ext uri="{FF2B5EF4-FFF2-40B4-BE49-F238E27FC236}">
              <a16:creationId xmlns:a16="http://schemas.microsoft.com/office/drawing/2014/main" id="{FE36B8C2-297D-CE31-4668-E6C2ECA407A8}"/>
            </a:ext>
          </a:extLst>
        </xdr:cNvPr>
        <xdr:cNvPicPr>
          <a:picLocks noChangeAspect="1"/>
        </xdr:cNvPicPr>
      </xdr:nvPicPr>
      <xdr:blipFill>
        <a:blip xmlns:r="http://schemas.openxmlformats.org/officeDocument/2006/relationships" r:embed="rId1"/>
        <a:stretch>
          <a:fillRect/>
        </a:stretch>
      </xdr:blipFill>
      <xdr:spPr>
        <a:xfrm>
          <a:off x="0" y="31565850"/>
          <a:ext cx="8466668" cy="79238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19050</xdr:colOff>
      <xdr:row>14</xdr:row>
      <xdr:rowOff>47625</xdr:rowOff>
    </xdr:from>
    <xdr:to>
      <xdr:col>10</xdr:col>
      <xdr:colOff>381000</xdr:colOff>
      <xdr:row>21</xdr:row>
      <xdr:rowOff>142875</xdr:rowOff>
    </xdr:to>
    <xdr:pic>
      <xdr:nvPicPr>
        <xdr:cNvPr id="4" name="Imagem 3">
          <a:extLst>
            <a:ext uri="{FF2B5EF4-FFF2-40B4-BE49-F238E27FC236}">
              <a16:creationId xmlns:a16="http://schemas.microsoft.com/office/drawing/2014/main" id="{8A7787D1-4EB3-2863-74E8-2D99ACE097F0}"/>
            </a:ext>
            <a:ext uri="{147F2762-F138-4A5C-976F-8EAC2B608ADB}">
              <a16:predDERef xmlns:a16="http://schemas.microsoft.com/office/drawing/2014/main" pred="{19D7B373-DDE8-270F-7E5D-9C2C6177CB67}"/>
            </a:ext>
          </a:extLst>
        </xdr:cNvPr>
        <xdr:cNvPicPr>
          <a:picLocks noChangeAspect="1"/>
        </xdr:cNvPicPr>
      </xdr:nvPicPr>
      <xdr:blipFill>
        <a:blip xmlns:r="http://schemas.openxmlformats.org/officeDocument/2006/relationships" r:embed="rId1"/>
        <a:stretch>
          <a:fillRect/>
        </a:stretch>
      </xdr:blipFill>
      <xdr:spPr>
        <a:xfrm>
          <a:off x="5448300" y="2305050"/>
          <a:ext cx="4572000" cy="1171575"/>
        </a:xfrm>
        <a:prstGeom prst="rect">
          <a:avLst/>
        </a:prstGeom>
      </xdr:spPr>
    </xdr:pic>
    <xdr:clientData/>
  </xdr:twoCellAnchor>
  <xdr:twoCellAnchor editAs="oneCell">
    <xdr:from>
      <xdr:col>6</xdr:col>
      <xdr:colOff>9525</xdr:colOff>
      <xdr:row>34</xdr:row>
      <xdr:rowOff>95250</xdr:rowOff>
    </xdr:from>
    <xdr:to>
      <xdr:col>10</xdr:col>
      <xdr:colOff>371475</xdr:colOff>
      <xdr:row>41</xdr:row>
      <xdr:rowOff>142875</xdr:rowOff>
    </xdr:to>
    <xdr:pic>
      <xdr:nvPicPr>
        <xdr:cNvPr id="5" name="Imagem 4">
          <a:extLst>
            <a:ext uri="{FF2B5EF4-FFF2-40B4-BE49-F238E27FC236}">
              <a16:creationId xmlns:a16="http://schemas.microsoft.com/office/drawing/2014/main" id="{2CDC609C-DB7C-472B-8B48-B0358E16B7A3}"/>
            </a:ext>
            <a:ext uri="{147F2762-F138-4A5C-976F-8EAC2B608ADB}">
              <a16:predDERef xmlns:a16="http://schemas.microsoft.com/office/drawing/2014/main" pred="{8A7787D1-4EB3-2863-74E8-2D99ACE097F0}"/>
            </a:ext>
          </a:extLst>
        </xdr:cNvPr>
        <xdr:cNvPicPr>
          <a:picLocks noChangeAspect="1"/>
        </xdr:cNvPicPr>
      </xdr:nvPicPr>
      <xdr:blipFill>
        <a:blip xmlns:r="http://schemas.openxmlformats.org/officeDocument/2006/relationships" r:embed="rId2"/>
        <a:stretch>
          <a:fillRect/>
        </a:stretch>
      </xdr:blipFill>
      <xdr:spPr>
        <a:xfrm>
          <a:off x="5438775" y="5438775"/>
          <a:ext cx="4572000" cy="1143000"/>
        </a:xfrm>
        <a:prstGeom prst="rect">
          <a:avLst/>
        </a:prstGeom>
      </xdr:spPr>
    </xdr:pic>
    <xdr:clientData/>
  </xdr:twoCellAnchor>
  <xdr:twoCellAnchor editAs="oneCell">
    <xdr:from>
      <xdr:col>10</xdr:col>
      <xdr:colOff>527538</xdr:colOff>
      <xdr:row>0</xdr:row>
      <xdr:rowOff>109905</xdr:rowOff>
    </xdr:from>
    <xdr:to>
      <xdr:col>16</xdr:col>
      <xdr:colOff>12893</xdr:colOff>
      <xdr:row>11</xdr:row>
      <xdr:rowOff>80108</xdr:rowOff>
    </xdr:to>
    <xdr:pic>
      <xdr:nvPicPr>
        <xdr:cNvPr id="2" name="Imagem 1">
          <a:extLst>
            <a:ext uri="{FF2B5EF4-FFF2-40B4-BE49-F238E27FC236}">
              <a16:creationId xmlns:a16="http://schemas.microsoft.com/office/drawing/2014/main" id="{E3C75D36-BB00-F15E-BACF-96C428BAED52}"/>
            </a:ext>
          </a:extLst>
        </xdr:cNvPr>
        <xdr:cNvPicPr>
          <a:picLocks noChangeAspect="1"/>
        </xdr:cNvPicPr>
      </xdr:nvPicPr>
      <xdr:blipFill>
        <a:blip xmlns:r="http://schemas.openxmlformats.org/officeDocument/2006/relationships" r:embed="rId3"/>
        <a:stretch>
          <a:fillRect/>
        </a:stretch>
      </xdr:blipFill>
      <xdr:spPr>
        <a:xfrm>
          <a:off x="10169769" y="109905"/>
          <a:ext cx="3134162" cy="1743318"/>
        </a:xfrm>
        <a:prstGeom prst="rect">
          <a:avLst/>
        </a:prstGeom>
      </xdr:spPr>
    </xdr:pic>
    <xdr:clientData/>
  </xdr:twoCellAnchor>
  <xdr:twoCellAnchor editAs="oneCell">
    <xdr:from>
      <xdr:col>10</xdr:col>
      <xdr:colOff>549518</xdr:colOff>
      <xdr:row>11</xdr:row>
      <xdr:rowOff>124559</xdr:rowOff>
    </xdr:from>
    <xdr:to>
      <xdr:col>16</xdr:col>
      <xdr:colOff>44400</xdr:colOff>
      <xdr:row>18</xdr:row>
      <xdr:rowOff>6003</xdr:rowOff>
    </xdr:to>
    <xdr:pic>
      <xdr:nvPicPr>
        <xdr:cNvPr id="6" name="Imagem 5">
          <a:extLst>
            <a:ext uri="{FF2B5EF4-FFF2-40B4-BE49-F238E27FC236}">
              <a16:creationId xmlns:a16="http://schemas.microsoft.com/office/drawing/2014/main" id="{AF0B2680-A548-5870-3B7D-8220495A38AF}"/>
            </a:ext>
          </a:extLst>
        </xdr:cNvPr>
        <xdr:cNvPicPr>
          <a:picLocks noChangeAspect="1"/>
        </xdr:cNvPicPr>
      </xdr:nvPicPr>
      <xdr:blipFill>
        <a:blip xmlns:r="http://schemas.openxmlformats.org/officeDocument/2006/relationships" r:embed="rId4"/>
        <a:stretch>
          <a:fillRect/>
        </a:stretch>
      </xdr:blipFill>
      <xdr:spPr>
        <a:xfrm>
          <a:off x="10191749" y="1897674"/>
          <a:ext cx="3143689" cy="100979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66675</xdr:colOff>
      <xdr:row>70</xdr:row>
      <xdr:rowOff>57150</xdr:rowOff>
    </xdr:from>
    <xdr:to>
      <xdr:col>1</xdr:col>
      <xdr:colOff>361950</xdr:colOff>
      <xdr:row>71</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72</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71</xdr:row>
      <xdr:rowOff>104775</xdr:rowOff>
    </xdr:from>
    <xdr:to>
      <xdr:col>1</xdr:col>
      <xdr:colOff>1962150</xdr:colOff>
      <xdr:row>72</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72</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65</xdr:row>
      <xdr:rowOff>104775</xdr:rowOff>
    </xdr:from>
    <xdr:to>
      <xdr:col>1</xdr:col>
      <xdr:colOff>1962150</xdr:colOff>
      <xdr:row>66</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65</xdr:row>
      <xdr:rowOff>114300</xdr:rowOff>
    </xdr:from>
    <xdr:to>
      <xdr:col>1</xdr:col>
      <xdr:colOff>3000374</xdr:colOff>
      <xdr:row>66</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64</xdr:row>
      <xdr:rowOff>50131</xdr:rowOff>
    </xdr:from>
    <xdr:to>
      <xdr:col>1</xdr:col>
      <xdr:colOff>2971800</xdr:colOff>
      <xdr:row>65</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64</xdr:row>
      <xdr:rowOff>57150</xdr:rowOff>
    </xdr:from>
    <xdr:to>
      <xdr:col>1</xdr:col>
      <xdr:colOff>361950</xdr:colOff>
      <xdr:row>65</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65</xdr:row>
      <xdr:rowOff>133350</xdr:rowOff>
    </xdr:from>
    <xdr:to>
      <xdr:col>1</xdr:col>
      <xdr:colOff>523875</xdr:colOff>
      <xdr:row>65</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65</xdr:row>
      <xdr:rowOff>133850</xdr:rowOff>
    </xdr:from>
    <xdr:to>
      <xdr:col>1</xdr:col>
      <xdr:colOff>2514600</xdr:colOff>
      <xdr:row>66</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66</xdr:row>
      <xdr:rowOff>58153</xdr:rowOff>
    </xdr:from>
    <xdr:to>
      <xdr:col>1</xdr:col>
      <xdr:colOff>1966161</xdr:colOff>
      <xdr:row>67</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66</xdr:row>
      <xdr:rowOff>107282</xdr:rowOff>
    </xdr:from>
    <xdr:to>
      <xdr:col>1</xdr:col>
      <xdr:colOff>429628</xdr:colOff>
      <xdr:row>67</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65</xdr:row>
      <xdr:rowOff>250658</xdr:rowOff>
    </xdr:from>
    <xdr:to>
      <xdr:col>3</xdr:col>
      <xdr:colOff>280736</xdr:colOff>
      <xdr:row>65</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65</xdr:row>
      <xdr:rowOff>104775</xdr:rowOff>
    </xdr:from>
    <xdr:to>
      <xdr:col>1</xdr:col>
      <xdr:colOff>1962150</xdr:colOff>
      <xdr:row>66</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65</xdr:row>
      <xdr:rowOff>114300</xdr:rowOff>
    </xdr:from>
    <xdr:to>
      <xdr:col>1</xdr:col>
      <xdr:colOff>3000374</xdr:colOff>
      <xdr:row>66</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64</xdr:row>
      <xdr:rowOff>50131</xdr:rowOff>
    </xdr:from>
    <xdr:to>
      <xdr:col>1</xdr:col>
      <xdr:colOff>2971800</xdr:colOff>
      <xdr:row>65</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64</xdr:row>
      <xdr:rowOff>57150</xdr:rowOff>
    </xdr:from>
    <xdr:to>
      <xdr:col>1</xdr:col>
      <xdr:colOff>361950</xdr:colOff>
      <xdr:row>65</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65</xdr:row>
      <xdr:rowOff>133350</xdr:rowOff>
    </xdr:from>
    <xdr:to>
      <xdr:col>1</xdr:col>
      <xdr:colOff>523875</xdr:colOff>
      <xdr:row>65</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65</xdr:row>
      <xdr:rowOff>133850</xdr:rowOff>
    </xdr:from>
    <xdr:to>
      <xdr:col>1</xdr:col>
      <xdr:colOff>2514600</xdr:colOff>
      <xdr:row>66</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66</xdr:row>
      <xdr:rowOff>58153</xdr:rowOff>
    </xdr:from>
    <xdr:to>
      <xdr:col>1</xdr:col>
      <xdr:colOff>1966161</xdr:colOff>
      <xdr:row>67</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66</xdr:row>
      <xdr:rowOff>107282</xdr:rowOff>
    </xdr:from>
    <xdr:to>
      <xdr:col>1</xdr:col>
      <xdr:colOff>429628</xdr:colOff>
      <xdr:row>67</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65</xdr:row>
      <xdr:rowOff>250658</xdr:rowOff>
    </xdr:from>
    <xdr:to>
      <xdr:col>3</xdr:col>
      <xdr:colOff>280736</xdr:colOff>
      <xdr:row>65</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533400</xdr:colOff>
      <xdr:row>35</xdr:row>
      <xdr:rowOff>104775</xdr:rowOff>
    </xdr:from>
    <xdr:to>
      <xdr:col>1</xdr:col>
      <xdr:colOff>1962150</xdr:colOff>
      <xdr:row>36</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35</xdr:row>
      <xdr:rowOff>114300</xdr:rowOff>
    </xdr:from>
    <xdr:to>
      <xdr:col>1</xdr:col>
      <xdr:colOff>3000374</xdr:colOff>
      <xdr:row>36</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34</xdr:row>
      <xdr:rowOff>50131</xdr:rowOff>
    </xdr:from>
    <xdr:to>
      <xdr:col>1</xdr:col>
      <xdr:colOff>2971800</xdr:colOff>
      <xdr:row>35</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523875</xdr:colOff>
      <xdr:row>35</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36</xdr:row>
      <xdr:rowOff>58153</xdr:rowOff>
    </xdr:from>
    <xdr:to>
      <xdr:col>1</xdr:col>
      <xdr:colOff>1966161</xdr:colOff>
      <xdr:row>37</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36</xdr:row>
      <xdr:rowOff>107282</xdr:rowOff>
    </xdr:from>
    <xdr:to>
      <xdr:col>1</xdr:col>
      <xdr:colOff>429628</xdr:colOff>
      <xdr:row>37</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35</xdr:row>
      <xdr:rowOff>104775</xdr:rowOff>
    </xdr:from>
    <xdr:to>
      <xdr:col>1</xdr:col>
      <xdr:colOff>1962150</xdr:colOff>
      <xdr:row>36</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35</xdr:row>
      <xdr:rowOff>114300</xdr:rowOff>
    </xdr:from>
    <xdr:to>
      <xdr:col>1</xdr:col>
      <xdr:colOff>3000374</xdr:colOff>
      <xdr:row>36</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34</xdr:row>
      <xdr:rowOff>50131</xdr:rowOff>
    </xdr:from>
    <xdr:to>
      <xdr:col>1</xdr:col>
      <xdr:colOff>2971800</xdr:colOff>
      <xdr:row>35</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523875</xdr:colOff>
      <xdr:row>35</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36</xdr:row>
      <xdr:rowOff>58153</xdr:rowOff>
    </xdr:from>
    <xdr:to>
      <xdr:col>1</xdr:col>
      <xdr:colOff>1966161</xdr:colOff>
      <xdr:row>37</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36</xdr:row>
      <xdr:rowOff>107282</xdr:rowOff>
    </xdr:from>
    <xdr:to>
      <xdr:col>1</xdr:col>
      <xdr:colOff>429628</xdr:colOff>
      <xdr:row>37</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35</xdr:row>
      <xdr:rowOff>104775</xdr:rowOff>
    </xdr:from>
    <xdr:to>
      <xdr:col>1</xdr:col>
      <xdr:colOff>1962150</xdr:colOff>
      <xdr:row>36</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35</xdr:row>
      <xdr:rowOff>114300</xdr:rowOff>
    </xdr:from>
    <xdr:to>
      <xdr:col>1</xdr:col>
      <xdr:colOff>3000374</xdr:colOff>
      <xdr:row>36</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34</xdr:row>
      <xdr:rowOff>50131</xdr:rowOff>
    </xdr:from>
    <xdr:to>
      <xdr:col>1</xdr:col>
      <xdr:colOff>2971800</xdr:colOff>
      <xdr:row>35</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523875</xdr:colOff>
      <xdr:row>35</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36</xdr:row>
      <xdr:rowOff>58153</xdr:rowOff>
    </xdr:from>
    <xdr:to>
      <xdr:col>1</xdr:col>
      <xdr:colOff>1966161</xdr:colOff>
      <xdr:row>37</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36</xdr:row>
      <xdr:rowOff>107282</xdr:rowOff>
    </xdr:from>
    <xdr:to>
      <xdr:col>1</xdr:col>
      <xdr:colOff>429628</xdr:colOff>
      <xdr:row>37</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35</xdr:row>
      <xdr:rowOff>114300</xdr:rowOff>
    </xdr:from>
    <xdr:to>
      <xdr:col>1</xdr:col>
      <xdr:colOff>3003549</xdr:colOff>
      <xdr:row>36</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34</xdr:row>
      <xdr:rowOff>57150</xdr:rowOff>
    </xdr:from>
    <xdr:to>
      <xdr:col>1</xdr:col>
      <xdr:colOff>361950</xdr:colOff>
      <xdr:row>35</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520700</xdr:colOff>
      <xdr:row>36</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36</xdr:row>
      <xdr:rowOff>58153</xdr:rowOff>
    </xdr:from>
    <xdr:to>
      <xdr:col>1</xdr:col>
      <xdr:colOff>1969336</xdr:colOff>
      <xdr:row>37</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36</xdr:row>
      <xdr:rowOff>104107</xdr:rowOff>
    </xdr:from>
    <xdr:to>
      <xdr:col>1</xdr:col>
      <xdr:colOff>426453</xdr:colOff>
      <xdr:row>37</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35</xdr:row>
      <xdr:rowOff>104775</xdr:rowOff>
    </xdr:from>
    <xdr:to>
      <xdr:col>1</xdr:col>
      <xdr:colOff>1962150</xdr:colOff>
      <xdr:row>36</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35</xdr:row>
      <xdr:rowOff>114300</xdr:rowOff>
    </xdr:from>
    <xdr:to>
      <xdr:col>1</xdr:col>
      <xdr:colOff>3000374</xdr:colOff>
      <xdr:row>36</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34</xdr:row>
      <xdr:rowOff>50131</xdr:rowOff>
    </xdr:from>
    <xdr:to>
      <xdr:col>1</xdr:col>
      <xdr:colOff>2971800</xdr:colOff>
      <xdr:row>35</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523875</xdr:colOff>
      <xdr:row>35</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36</xdr:row>
      <xdr:rowOff>58153</xdr:rowOff>
    </xdr:from>
    <xdr:to>
      <xdr:col>1</xdr:col>
      <xdr:colOff>1966161</xdr:colOff>
      <xdr:row>37</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36</xdr:row>
      <xdr:rowOff>107282</xdr:rowOff>
    </xdr:from>
    <xdr:to>
      <xdr:col>1</xdr:col>
      <xdr:colOff>429628</xdr:colOff>
      <xdr:row>37</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35</xdr:row>
      <xdr:rowOff>250658</xdr:rowOff>
    </xdr:from>
    <xdr:to>
      <xdr:col>3</xdr:col>
      <xdr:colOff>280736</xdr:colOff>
      <xdr:row>35</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35</xdr:row>
      <xdr:rowOff>104775</xdr:rowOff>
    </xdr:from>
    <xdr:to>
      <xdr:col>1</xdr:col>
      <xdr:colOff>1962150</xdr:colOff>
      <xdr:row>36</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35</xdr:row>
      <xdr:rowOff>114300</xdr:rowOff>
    </xdr:from>
    <xdr:to>
      <xdr:col>1</xdr:col>
      <xdr:colOff>3000374</xdr:colOff>
      <xdr:row>36</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34</xdr:row>
      <xdr:rowOff>50131</xdr:rowOff>
    </xdr:from>
    <xdr:to>
      <xdr:col>1</xdr:col>
      <xdr:colOff>2971800</xdr:colOff>
      <xdr:row>35</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523875</xdr:colOff>
      <xdr:row>35</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36</xdr:row>
      <xdr:rowOff>58153</xdr:rowOff>
    </xdr:from>
    <xdr:to>
      <xdr:col>1</xdr:col>
      <xdr:colOff>1966161</xdr:colOff>
      <xdr:row>37</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36</xdr:row>
      <xdr:rowOff>107282</xdr:rowOff>
    </xdr:from>
    <xdr:to>
      <xdr:col>1</xdr:col>
      <xdr:colOff>429628</xdr:colOff>
      <xdr:row>37</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35</xdr:row>
      <xdr:rowOff>250658</xdr:rowOff>
    </xdr:from>
    <xdr:to>
      <xdr:col>3</xdr:col>
      <xdr:colOff>280736</xdr:colOff>
      <xdr:row>35</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35</xdr:row>
      <xdr:rowOff>104775</xdr:rowOff>
    </xdr:from>
    <xdr:to>
      <xdr:col>1</xdr:col>
      <xdr:colOff>1962150</xdr:colOff>
      <xdr:row>36</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35</xdr:row>
      <xdr:rowOff>114300</xdr:rowOff>
    </xdr:from>
    <xdr:to>
      <xdr:col>1</xdr:col>
      <xdr:colOff>3000374</xdr:colOff>
      <xdr:row>36</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34</xdr:row>
      <xdr:rowOff>50131</xdr:rowOff>
    </xdr:from>
    <xdr:to>
      <xdr:col>1</xdr:col>
      <xdr:colOff>2971800</xdr:colOff>
      <xdr:row>35</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523875</xdr:colOff>
      <xdr:row>35</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36</xdr:row>
      <xdr:rowOff>58153</xdr:rowOff>
    </xdr:from>
    <xdr:to>
      <xdr:col>1</xdr:col>
      <xdr:colOff>1966161</xdr:colOff>
      <xdr:row>37</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36</xdr:row>
      <xdr:rowOff>107282</xdr:rowOff>
    </xdr:from>
    <xdr:to>
      <xdr:col>1</xdr:col>
      <xdr:colOff>429628</xdr:colOff>
      <xdr:row>37</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35</xdr:row>
      <xdr:rowOff>250658</xdr:rowOff>
    </xdr:from>
    <xdr:to>
      <xdr:col>3</xdr:col>
      <xdr:colOff>280736</xdr:colOff>
      <xdr:row>35</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35</xdr:row>
      <xdr:rowOff>101600</xdr:rowOff>
    </xdr:from>
    <xdr:to>
      <xdr:col>1</xdr:col>
      <xdr:colOff>1962150</xdr:colOff>
      <xdr:row>36</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35</xdr:row>
      <xdr:rowOff>114300</xdr:rowOff>
    </xdr:from>
    <xdr:to>
      <xdr:col>1</xdr:col>
      <xdr:colOff>3003549</xdr:colOff>
      <xdr:row>36</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34</xdr:row>
      <xdr:rowOff>46956</xdr:rowOff>
    </xdr:from>
    <xdr:to>
      <xdr:col>1</xdr:col>
      <xdr:colOff>2971800</xdr:colOff>
      <xdr:row>35</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34</xdr:row>
      <xdr:rowOff>57150</xdr:rowOff>
    </xdr:from>
    <xdr:to>
      <xdr:col>1</xdr:col>
      <xdr:colOff>361950</xdr:colOff>
      <xdr:row>35</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520700</xdr:colOff>
      <xdr:row>36</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36</xdr:row>
      <xdr:rowOff>58153</xdr:rowOff>
    </xdr:from>
    <xdr:to>
      <xdr:col>1</xdr:col>
      <xdr:colOff>1969336</xdr:colOff>
      <xdr:row>37</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36</xdr:row>
      <xdr:rowOff>104107</xdr:rowOff>
    </xdr:from>
    <xdr:to>
      <xdr:col>1</xdr:col>
      <xdr:colOff>426453</xdr:colOff>
      <xdr:row>37</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36</xdr:row>
      <xdr:rowOff>6183</xdr:rowOff>
    </xdr:from>
    <xdr:to>
      <xdr:col>3</xdr:col>
      <xdr:colOff>277561</xdr:colOff>
      <xdr:row>36</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35</xdr:row>
      <xdr:rowOff>104775</xdr:rowOff>
    </xdr:from>
    <xdr:to>
      <xdr:col>1</xdr:col>
      <xdr:colOff>1962150</xdr:colOff>
      <xdr:row>36</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35</xdr:row>
      <xdr:rowOff>114300</xdr:rowOff>
    </xdr:from>
    <xdr:to>
      <xdr:col>1</xdr:col>
      <xdr:colOff>3000374</xdr:colOff>
      <xdr:row>36</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34</xdr:row>
      <xdr:rowOff>50131</xdr:rowOff>
    </xdr:from>
    <xdr:to>
      <xdr:col>1</xdr:col>
      <xdr:colOff>2971800</xdr:colOff>
      <xdr:row>35</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523875</xdr:colOff>
      <xdr:row>35</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36</xdr:row>
      <xdr:rowOff>58153</xdr:rowOff>
    </xdr:from>
    <xdr:to>
      <xdr:col>1</xdr:col>
      <xdr:colOff>1966161</xdr:colOff>
      <xdr:row>37</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36</xdr:row>
      <xdr:rowOff>107282</xdr:rowOff>
    </xdr:from>
    <xdr:to>
      <xdr:col>1</xdr:col>
      <xdr:colOff>429628</xdr:colOff>
      <xdr:row>37</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35</xdr:row>
      <xdr:rowOff>250658</xdr:rowOff>
    </xdr:from>
    <xdr:to>
      <xdr:col>3</xdr:col>
      <xdr:colOff>280736</xdr:colOff>
      <xdr:row>35</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35</xdr:row>
      <xdr:rowOff>104775</xdr:rowOff>
    </xdr:from>
    <xdr:to>
      <xdr:col>1</xdr:col>
      <xdr:colOff>1962150</xdr:colOff>
      <xdr:row>36</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35</xdr:row>
      <xdr:rowOff>114300</xdr:rowOff>
    </xdr:from>
    <xdr:to>
      <xdr:col>1</xdr:col>
      <xdr:colOff>3000374</xdr:colOff>
      <xdr:row>36</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34</xdr:row>
      <xdr:rowOff>50131</xdr:rowOff>
    </xdr:from>
    <xdr:to>
      <xdr:col>1</xdr:col>
      <xdr:colOff>2971800</xdr:colOff>
      <xdr:row>35</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35</xdr:row>
      <xdr:rowOff>133350</xdr:rowOff>
    </xdr:from>
    <xdr:to>
      <xdr:col>1</xdr:col>
      <xdr:colOff>523875</xdr:colOff>
      <xdr:row>35</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35</xdr:row>
      <xdr:rowOff>133850</xdr:rowOff>
    </xdr:from>
    <xdr:to>
      <xdr:col>1</xdr:col>
      <xdr:colOff>2514600</xdr:colOff>
      <xdr:row>36</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537411</xdr:colOff>
      <xdr:row>36</xdr:row>
      <xdr:rowOff>77203</xdr:rowOff>
    </xdr:from>
    <xdr:to>
      <xdr:col>1</xdr:col>
      <xdr:colOff>1975686</xdr:colOff>
      <xdr:row>37</xdr:row>
      <xdr:rowOff>134353</xdr:rowOff>
    </xdr:to>
    <xdr:sp macro="" textlink="">
      <xdr:nvSpPr>
        <xdr:cNvPr id="10" name="Text Box 32">
          <a:extLst>
            <a:ext uri="{FF2B5EF4-FFF2-40B4-BE49-F238E27FC236}">
              <a16:creationId xmlns:a16="http://schemas.microsoft.com/office/drawing/2014/main" id="{9B3007DC-BF18-4CED-9050-05E67C88CC3B}"/>
            </a:ext>
            <a:ext uri="{147F2762-F138-4A5C-976F-8EAC2B608ADB}">
              <a16:predDERef xmlns:a16="http://schemas.microsoft.com/office/drawing/2014/main" pred="{A710F35D-7C87-45E6-AB51-0C63DFBBF476}"/>
            </a:ext>
          </a:extLst>
        </xdr:cNvPr>
        <xdr:cNvSpPr txBox="1">
          <a:spLocks noChangeArrowheads="1"/>
        </xdr:cNvSpPr>
      </xdr:nvSpPr>
      <xdr:spPr bwMode="auto">
        <a:xfrm>
          <a:off x="785061" y="4877803"/>
          <a:ext cx="143827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36</xdr:row>
      <xdr:rowOff>107282</xdr:rowOff>
    </xdr:from>
    <xdr:to>
      <xdr:col>1</xdr:col>
      <xdr:colOff>429628</xdr:colOff>
      <xdr:row>37</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35</xdr:row>
      <xdr:rowOff>250658</xdr:rowOff>
    </xdr:from>
    <xdr:to>
      <xdr:col>3</xdr:col>
      <xdr:colOff>280736</xdr:colOff>
      <xdr:row>35</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440" t="s">
        <v>0</v>
      </c>
      <c r="B2" s="441"/>
      <c r="C2" s="442"/>
      <c r="F2" s="440" t="s">
        <v>1</v>
      </c>
      <c r="G2" s="441"/>
      <c r="H2" s="442"/>
    </row>
    <row r="4" spans="1:8" x14ac:dyDescent="0.2">
      <c r="A4" s="9" t="s">
        <v>2</v>
      </c>
      <c r="F4" s="9" t="s">
        <v>2</v>
      </c>
    </row>
    <row r="5" spans="1:8" x14ac:dyDescent="0.2">
      <c r="A5" t="s">
        <v>3</v>
      </c>
      <c r="C5" s="7">
        <f>'Controle de pragas - Item 6'!I58</f>
        <v>1536.73</v>
      </c>
      <c r="F5" t="s">
        <v>3</v>
      </c>
      <c r="H5" s="7">
        <f>'Controle de pragas - Item 6'!I58</f>
        <v>1536.73</v>
      </c>
    </row>
    <row r="6" spans="1:8" x14ac:dyDescent="0.2">
      <c r="A6" t="s">
        <v>4</v>
      </c>
      <c r="C6" s="7">
        <f>'Controle de pragas - Item 6'!I67</f>
        <v>314.00516333333337</v>
      </c>
      <c r="F6" t="s">
        <v>4</v>
      </c>
      <c r="H6" s="7">
        <f>'Controle de pragas - Item 6'!I67</f>
        <v>314.00516333333337</v>
      </c>
    </row>
    <row r="7" spans="1:8" x14ac:dyDescent="0.2">
      <c r="A7" s="9" t="s">
        <v>5</v>
      </c>
      <c r="C7" s="4">
        <f>SUM(C5:C6)</f>
        <v>1850.7351633333333</v>
      </c>
      <c r="F7" s="9" t="s">
        <v>5</v>
      </c>
      <c r="H7" s="4">
        <f>SUM(H5:H6)</f>
        <v>1850.7351633333333</v>
      </c>
    </row>
    <row r="9" spans="1:8" x14ac:dyDescent="0.2">
      <c r="A9" s="9" t="s">
        <v>6</v>
      </c>
      <c r="C9" s="52">
        <f>(SUM('Controle de pragas - Item 6'!H80:H86))</f>
        <v>0.28800000000000003</v>
      </c>
      <c r="F9" s="9" t="s">
        <v>6</v>
      </c>
      <c r="H9" s="52">
        <f>'Controle de pragas - Item 6'!H87</f>
        <v>0.08</v>
      </c>
    </row>
    <row r="10" spans="1:8" ht="13.5" thickBot="1" x14ac:dyDescent="0.25"/>
    <row r="11" spans="1:8" ht="13.5" thickBot="1" x14ac:dyDescent="0.25">
      <c r="A11" s="53" t="s">
        <v>7</v>
      </c>
      <c r="B11" s="54"/>
      <c r="C11" s="55">
        <f>C7*C9</f>
        <v>533.0117270400001</v>
      </c>
      <c r="F11" s="53" t="s">
        <v>8</v>
      </c>
      <c r="G11" s="54"/>
      <c r="H11" s="55">
        <f>H7*H9</f>
        <v>148.05881306666666</v>
      </c>
    </row>
    <row r="13" spans="1:8" ht="13.5" thickBot="1" x14ac:dyDescent="0.25"/>
    <row r="14" spans="1:8" ht="13.5" thickBot="1" x14ac:dyDescent="0.25">
      <c r="C14" s="437" t="s">
        <v>9</v>
      </c>
      <c r="D14" s="438"/>
      <c r="E14" s="438"/>
      <c r="F14" s="439"/>
    </row>
    <row r="16" spans="1:8" x14ac:dyDescent="0.2">
      <c r="C16" t="str">
        <f>A11</f>
        <v>Valor GPS</v>
      </c>
      <c r="F16" s="7">
        <f>C11</f>
        <v>533.0117270400001</v>
      </c>
    </row>
    <row r="17" spans="3:8" x14ac:dyDescent="0.2">
      <c r="C17" t="str">
        <f>F11</f>
        <v>Valor FGTS</v>
      </c>
      <c r="F17" s="7">
        <f>H11</f>
        <v>148.05881306666666</v>
      </c>
    </row>
    <row r="19" spans="3:8" x14ac:dyDescent="0.2">
      <c r="C19" s="9" t="s">
        <v>10</v>
      </c>
      <c r="F19" s="94">
        <f>C9+H9</f>
        <v>0.36800000000000005</v>
      </c>
      <c r="G19" s="9"/>
      <c r="H19" s="77"/>
    </row>
    <row r="20" spans="3:8" ht="13.5" thickBot="1" x14ac:dyDescent="0.25"/>
    <row r="21" spans="3:8" ht="13.5" thickBot="1" x14ac:dyDescent="0.25">
      <c r="C21" s="65" t="s">
        <v>11</v>
      </c>
      <c r="D21" s="78"/>
      <c r="E21" s="78"/>
      <c r="F21" s="79">
        <f>SUM(F16:F18)</f>
        <v>681.07054010666673</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0" t="s">
        <v>403</v>
      </c>
      <c r="B1" s="742" t="s">
        <v>404</v>
      </c>
      <c r="C1" s="742"/>
      <c r="D1" s="742"/>
      <c r="E1" s="742"/>
      <c r="F1" s="742"/>
      <c r="G1" s="742"/>
      <c r="H1" s="11">
        <f>'Controle de pragas - Item 6'!H168+'Controle de pragas - Item 6'!H169+'Controle de pragas - Item 6'!H170</f>
        <v>0.14250000000000002</v>
      </c>
      <c r="I1" s="12"/>
    </row>
    <row r="2" spans="1:9" x14ac:dyDescent="0.2">
      <c r="A2" s="13"/>
      <c r="B2" s="743">
        <v>100</v>
      </c>
      <c r="C2" s="743"/>
      <c r="D2" s="743"/>
      <c r="E2" s="743"/>
      <c r="F2" s="743"/>
      <c r="G2" s="743"/>
      <c r="H2" s="14"/>
      <c r="I2" s="15"/>
    </row>
    <row r="3" spans="1:9" x14ac:dyDescent="0.2">
      <c r="A3" s="16"/>
      <c r="B3" s="27"/>
      <c r="C3" s="27"/>
      <c r="D3" s="27"/>
      <c r="E3" s="27"/>
      <c r="F3" s="27"/>
      <c r="G3" s="27"/>
      <c r="H3" s="14"/>
      <c r="I3" s="15"/>
    </row>
    <row r="4" spans="1:9" x14ac:dyDescent="0.2">
      <c r="A4" s="13" t="s">
        <v>405</v>
      </c>
      <c r="B4" s="743" t="s">
        <v>406</v>
      </c>
      <c r="C4" s="743"/>
      <c r="D4" s="743"/>
      <c r="E4" s="743"/>
      <c r="F4" s="743"/>
      <c r="G4" s="743"/>
      <c r="H4" s="14"/>
      <c r="I4" s="15">
        <f>'Controle de pragas - Item 6'!I165+'Controle de pragas - Item 6'!I166+'Controle de pragas - Item 6'!I183</f>
        <v>3941.2053141887063</v>
      </c>
    </row>
    <row r="5" spans="1:9" x14ac:dyDescent="0.2">
      <c r="A5" s="13"/>
      <c r="B5" s="27"/>
      <c r="C5" s="27"/>
      <c r="D5" s="27"/>
      <c r="E5" s="27"/>
      <c r="F5" s="27"/>
      <c r="G5" s="27"/>
      <c r="H5" s="14"/>
      <c r="I5" s="15"/>
    </row>
    <row r="6" spans="1:9" x14ac:dyDescent="0.2">
      <c r="A6" s="13" t="s">
        <v>407</v>
      </c>
      <c r="B6" s="743" t="s">
        <v>408</v>
      </c>
      <c r="C6" s="743"/>
      <c r="D6" s="743"/>
      <c r="E6" s="743"/>
      <c r="F6" s="743"/>
      <c r="G6" s="743"/>
      <c r="H6" s="14"/>
      <c r="I6" s="15">
        <f>I4/(1-H1)</f>
        <v>4596.1578008031565</v>
      </c>
    </row>
    <row r="7" spans="1:9" x14ac:dyDescent="0.2">
      <c r="A7" s="13"/>
      <c r="B7" s="27"/>
      <c r="C7" s="27"/>
      <c r="D7" s="27"/>
      <c r="E7" s="27"/>
      <c r="F7" s="27"/>
      <c r="G7" s="27"/>
      <c r="H7" s="14"/>
      <c r="I7" s="15"/>
    </row>
    <row r="8" spans="1:9" x14ac:dyDescent="0.2">
      <c r="A8" s="17"/>
      <c r="B8" s="744" t="s">
        <v>409</v>
      </c>
      <c r="C8" s="744"/>
      <c r="D8" s="744"/>
      <c r="E8" s="744"/>
      <c r="F8" s="744"/>
      <c r="G8" s="744"/>
      <c r="H8" s="18"/>
      <c r="I8" s="19">
        <f>I6-I4</f>
        <v>654.95248661445021</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440" t="s">
        <v>410</v>
      </c>
      <c r="B1" s="441"/>
      <c r="C1" s="441"/>
      <c r="D1" s="441"/>
      <c r="E1" s="441"/>
      <c r="F1" s="441"/>
      <c r="G1" s="441"/>
      <c r="H1" s="441"/>
      <c r="I1" s="442"/>
    </row>
    <row r="3" spans="1:16" x14ac:dyDescent="0.2">
      <c r="A3" s="70" t="s">
        <v>411</v>
      </c>
    </row>
    <row r="5" spans="1:16" x14ac:dyDescent="0.2">
      <c r="A5" s="9" t="s">
        <v>2</v>
      </c>
      <c r="B5" s="9"/>
    </row>
    <row r="7" spans="1:16" x14ac:dyDescent="0.2">
      <c r="A7" t="s">
        <v>412</v>
      </c>
      <c r="D7" s="7">
        <f>'Controle de pragas - Item 6'!I58</f>
        <v>1536.73</v>
      </c>
    </row>
    <row r="8" spans="1:16" x14ac:dyDescent="0.2">
      <c r="A8" t="s">
        <v>413</v>
      </c>
      <c r="D8" s="7">
        <f>'Controle de pragas - Item 6'!I115</f>
        <v>1680.4530528853334</v>
      </c>
    </row>
    <row r="9" spans="1:16" x14ac:dyDescent="0.2">
      <c r="A9" t="s">
        <v>414</v>
      </c>
      <c r="D9" s="7">
        <f>'Controle de pragas - Item 6'!I125</f>
        <v>109.223392096</v>
      </c>
    </row>
    <row r="10" spans="1:16" x14ac:dyDescent="0.2">
      <c r="D10" s="7"/>
    </row>
    <row r="11" spans="1:16" x14ac:dyDescent="0.2">
      <c r="A11" s="9" t="s">
        <v>415</v>
      </c>
      <c r="B11" s="9"/>
      <c r="C11" s="9"/>
      <c r="D11" s="4">
        <f>SUM(D7:D10)</f>
        <v>3326.4064449813332</v>
      </c>
    </row>
    <row r="12" spans="1:16" ht="13.5" thickBot="1" x14ac:dyDescent="0.25"/>
    <row r="13" spans="1:16" ht="13.5" thickBot="1" x14ac:dyDescent="0.25">
      <c r="A13" s="72" t="s">
        <v>416</v>
      </c>
      <c r="B13" s="66"/>
      <c r="C13" s="66"/>
      <c r="D13" s="67">
        <v>30</v>
      </c>
      <c r="F13" s="745"/>
      <c r="G13" s="745"/>
      <c r="H13" s="745"/>
      <c r="I13" s="745"/>
      <c r="J13" s="745"/>
      <c r="K13" s="745"/>
      <c r="L13" s="745"/>
      <c r="M13" s="745"/>
    </row>
    <row r="14" spans="1:16" ht="13.5" thickBot="1" x14ac:dyDescent="0.25"/>
    <row r="15" spans="1:16" ht="13.5" thickBot="1" x14ac:dyDescent="0.25">
      <c r="A15" s="53" t="s">
        <v>417</v>
      </c>
      <c r="B15" s="71"/>
      <c r="C15" s="71"/>
      <c r="D15" s="55">
        <f>D11/D13</f>
        <v>110.8802148327111</v>
      </c>
      <c r="P15" s="9" t="s">
        <v>358</v>
      </c>
    </row>
    <row r="16" spans="1:16" ht="13.5" thickBot="1" x14ac:dyDescent="0.25"/>
    <row r="17" spans="1:17" ht="13.5" thickBot="1" x14ac:dyDescent="0.25">
      <c r="A17" s="72" t="s">
        <v>418</v>
      </c>
      <c r="B17" s="66"/>
      <c r="C17" s="66"/>
      <c r="D17" s="66"/>
      <c r="E17" s="66"/>
      <c r="F17" s="66"/>
      <c r="G17" s="66"/>
      <c r="H17" s="66"/>
      <c r="I17" s="147">
        <f>P17</f>
        <v>20.9589</v>
      </c>
      <c r="P17" s="130">
        <v>20.9589</v>
      </c>
      <c r="Q17" t="s">
        <v>419</v>
      </c>
    </row>
    <row r="18" spans="1:17" ht="13.5" thickBot="1" x14ac:dyDescent="0.25">
      <c r="P18" s="131">
        <v>1</v>
      </c>
      <c r="Q18" t="s">
        <v>420</v>
      </c>
    </row>
    <row r="19" spans="1:17" ht="13.5" thickBot="1" x14ac:dyDescent="0.25">
      <c r="A19" s="72" t="s">
        <v>421</v>
      </c>
      <c r="B19" s="66"/>
      <c r="C19" s="66"/>
      <c r="D19" s="66"/>
      <c r="E19" s="66"/>
      <c r="F19" s="66"/>
      <c r="G19" s="66"/>
      <c r="H19" s="66"/>
      <c r="I19" s="147">
        <f>P18+SUM(P21:P26)+P29</f>
        <v>4.8740000000000006</v>
      </c>
      <c r="P19" s="131">
        <v>0</v>
      </c>
      <c r="Q19" t="s">
        <v>422</v>
      </c>
    </row>
    <row r="20" spans="1:17" ht="13.5" thickBot="1" x14ac:dyDescent="0.25">
      <c r="P20" s="132">
        <v>0.96589999999999998</v>
      </c>
      <c r="Q20" t="s">
        <v>423</v>
      </c>
    </row>
    <row r="21" spans="1:17" ht="13.5" thickBot="1" x14ac:dyDescent="0.25">
      <c r="A21" s="72" t="s">
        <v>424</v>
      </c>
      <c r="B21" s="66"/>
      <c r="C21" s="66"/>
      <c r="D21" s="66"/>
      <c r="E21" s="66"/>
      <c r="F21" s="66"/>
      <c r="G21" s="66"/>
      <c r="H21" s="66"/>
      <c r="I21" s="147">
        <f>P27</f>
        <v>0.19969999999999999</v>
      </c>
      <c r="P21" s="131">
        <v>3.4931999999999999</v>
      </c>
      <c r="Q21" t="s">
        <v>425</v>
      </c>
    </row>
    <row r="22" spans="1:17" ht="13.5" thickBot="1" x14ac:dyDescent="0.25">
      <c r="P22" s="131">
        <v>0.26879999999999998</v>
      </c>
      <c r="Q22" t="s">
        <v>426</v>
      </c>
    </row>
    <row r="23" spans="1:17" ht="13.5" thickBot="1" x14ac:dyDescent="0.25">
      <c r="A23" s="72" t="s">
        <v>427</v>
      </c>
      <c r="B23" s="66"/>
      <c r="C23" s="66"/>
      <c r="D23" s="66"/>
      <c r="E23" s="66"/>
      <c r="F23" s="66"/>
      <c r="G23" s="66"/>
      <c r="H23" s="66"/>
      <c r="I23" s="147">
        <f>P20</f>
        <v>0.96589999999999998</v>
      </c>
      <c r="P23" s="131">
        <v>4.2700000000000002E-2</v>
      </c>
      <c r="Q23" t="s">
        <v>428</v>
      </c>
    </row>
    <row r="24" spans="1:17" ht="13.5" thickBot="1" x14ac:dyDescent="0.25">
      <c r="P24" s="131">
        <v>3.5499999999999997E-2</v>
      </c>
      <c r="Q24" t="s">
        <v>429</v>
      </c>
    </row>
    <row r="25" spans="1:17" ht="13.5" thickBot="1" x14ac:dyDescent="0.25">
      <c r="A25" s="72" t="s">
        <v>430</v>
      </c>
      <c r="B25" s="66"/>
      <c r="C25" s="66"/>
      <c r="D25" s="66"/>
      <c r="E25" s="66"/>
      <c r="F25" s="66"/>
      <c r="G25" s="66"/>
      <c r="H25" s="66"/>
      <c r="I25" s="147">
        <f>P28</f>
        <v>2.4752999999999998</v>
      </c>
      <c r="P25" s="131">
        <v>0.02</v>
      </c>
      <c r="Q25" t="s">
        <v>431</v>
      </c>
    </row>
    <row r="26" spans="1:17" ht="13.5" thickBot="1" x14ac:dyDescent="0.25">
      <c r="P26" s="131">
        <v>4.0000000000000001E-3</v>
      </c>
      <c r="Q26" t="s">
        <v>432</v>
      </c>
    </row>
    <row r="27" spans="1:17" ht="13.5" thickBot="1" x14ac:dyDescent="0.25">
      <c r="I27" s="72" t="s">
        <v>433</v>
      </c>
      <c r="J27" s="108">
        <f>SUM(I17:I25)</f>
        <v>29.473800000000004</v>
      </c>
      <c r="P27" s="132">
        <v>0.19969999999999999</v>
      </c>
      <c r="Q27" t="s">
        <v>434</v>
      </c>
    </row>
    <row r="28" spans="1:17" ht="13.5" thickBot="1" x14ac:dyDescent="0.25">
      <c r="A28" s="72" t="s">
        <v>435</v>
      </c>
      <c r="B28" s="66"/>
      <c r="C28" s="66"/>
      <c r="D28" s="66"/>
      <c r="E28" s="68">
        <f>D15*I17/12</f>
        <v>193.66061122144239</v>
      </c>
      <c r="P28" s="132">
        <v>2.4752999999999998</v>
      </c>
      <c r="Q28" t="s">
        <v>436</v>
      </c>
    </row>
    <row r="29" spans="1:17" ht="13.5" thickBot="1" x14ac:dyDescent="0.25">
      <c r="P29" s="133">
        <v>9.7999999999999997E-3</v>
      </c>
      <c r="Q29" t="s">
        <v>437</v>
      </c>
    </row>
    <row r="30" spans="1:17" ht="13.5" thickBot="1" x14ac:dyDescent="0.25">
      <c r="A30" s="72" t="s">
        <v>438</v>
      </c>
      <c r="B30" s="66"/>
      <c r="C30" s="66"/>
      <c r="D30" s="66"/>
      <c r="E30" s="68">
        <f>D15*I19/12</f>
        <v>45.035847257886161</v>
      </c>
    </row>
    <row r="31" spans="1:17" ht="13.5" thickBot="1" x14ac:dyDescent="0.25">
      <c r="P31" s="134">
        <f>SUM(P17:P29)</f>
        <v>29.473799999999997</v>
      </c>
      <c r="Q31" s="29" t="s">
        <v>439</v>
      </c>
    </row>
    <row r="32" spans="1:17" ht="13.5" thickBot="1" x14ac:dyDescent="0.25">
      <c r="A32" s="72" t="s">
        <v>440</v>
      </c>
      <c r="B32" s="66"/>
      <c r="C32" s="66"/>
      <c r="D32" s="66"/>
      <c r="E32" s="68">
        <f>D15*I21/12</f>
        <v>1.8452315751743671</v>
      </c>
    </row>
    <row r="33" spans="1:16" ht="13.5" thickBot="1" x14ac:dyDescent="0.25"/>
    <row r="34" spans="1:16" ht="13.5" thickBot="1" x14ac:dyDescent="0.25">
      <c r="A34" s="72" t="s">
        <v>441</v>
      </c>
      <c r="B34" s="66"/>
      <c r="C34" s="66"/>
      <c r="D34" s="66"/>
      <c r="E34" s="68">
        <f>D15*I23/12</f>
        <v>8.9249332922429705</v>
      </c>
      <c r="P34" s="107"/>
    </row>
    <row r="35" spans="1:16" ht="13.5" thickBot="1" x14ac:dyDescent="0.25"/>
    <row r="36" spans="1:16" ht="13.5" thickBot="1" x14ac:dyDescent="0.25">
      <c r="A36" s="72" t="s">
        <v>442</v>
      </c>
      <c r="B36" s="66"/>
      <c r="C36" s="66"/>
      <c r="D36" s="66"/>
      <c r="E36" s="68">
        <f>D15*I25/12</f>
        <v>22.87181631461748</v>
      </c>
    </row>
    <row r="37" spans="1:16" ht="13.5" thickBot="1" x14ac:dyDescent="0.25"/>
    <row r="38" spans="1:16" ht="13.5" thickBot="1" x14ac:dyDescent="0.25">
      <c r="C38" s="746" t="s">
        <v>443</v>
      </c>
      <c r="D38" s="747"/>
      <c r="E38" s="747"/>
      <c r="F38" s="747"/>
      <c r="G38" s="747"/>
      <c r="H38" s="747"/>
      <c r="I38" s="748"/>
      <c r="J38" s="68">
        <f>SUM(E28:E36)</f>
        <v>272.3384396613634</v>
      </c>
    </row>
    <row r="41" spans="1:16" ht="13.5" thickBot="1" x14ac:dyDescent="0.25"/>
    <row r="42" spans="1:16" ht="13.5" thickBot="1" x14ac:dyDescent="0.25">
      <c r="A42" s="749" t="s">
        <v>444</v>
      </c>
      <c r="B42" s="750"/>
      <c r="C42" s="750"/>
      <c r="D42" s="751"/>
      <c r="E42" s="135"/>
      <c r="F42" s="135"/>
      <c r="G42" s="135"/>
      <c r="H42" s="43"/>
      <c r="I42" s="43"/>
    </row>
    <row r="43" spans="1:16" x14ac:dyDescent="0.2">
      <c r="A43" s="136"/>
      <c r="B43" s="136"/>
      <c r="C43" s="136"/>
      <c r="D43" s="136"/>
      <c r="E43" s="136"/>
      <c r="F43" s="136"/>
      <c r="G43" s="136"/>
    </row>
    <row r="44" spans="1:16" x14ac:dyDescent="0.2">
      <c r="A44" s="137" t="s">
        <v>2</v>
      </c>
      <c r="B44" s="137"/>
      <c r="C44" s="136"/>
      <c r="D44" s="136"/>
      <c r="E44" s="136"/>
      <c r="F44" s="136"/>
      <c r="G44" s="136"/>
    </row>
    <row r="45" spans="1:16" x14ac:dyDescent="0.2">
      <c r="A45" s="136"/>
      <c r="B45" s="136"/>
      <c r="C45" s="136"/>
      <c r="D45" s="136"/>
      <c r="E45" s="136"/>
      <c r="F45" s="136"/>
      <c r="G45" s="136"/>
    </row>
    <row r="46" spans="1:16" x14ac:dyDescent="0.2">
      <c r="A46" s="136" t="s">
        <v>412</v>
      </c>
      <c r="B46" s="136"/>
      <c r="C46" s="136"/>
      <c r="D46" s="138">
        <f>'Controle de pragas - Item 6'!I58</f>
        <v>1536.73</v>
      </c>
      <c r="E46" s="136"/>
      <c r="F46" s="136"/>
      <c r="G46" s="136"/>
    </row>
    <row r="47" spans="1:16" x14ac:dyDescent="0.2">
      <c r="A47" s="136" t="s">
        <v>413</v>
      </c>
      <c r="B47" s="136"/>
      <c r="C47" s="136"/>
      <c r="D47" s="138">
        <f>'Controle de pragas - Item 6'!I115</f>
        <v>1680.4530528853334</v>
      </c>
      <c r="E47" s="136"/>
      <c r="F47" s="136"/>
      <c r="G47" s="136"/>
    </row>
    <row r="48" spans="1:16" x14ac:dyDescent="0.2">
      <c r="A48" s="136" t="s">
        <v>414</v>
      </c>
      <c r="B48" s="136"/>
      <c r="C48" s="136"/>
      <c r="D48" s="138">
        <f>'Controle de pragas - Item 6'!I125</f>
        <v>109.223392096</v>
      </c>
      <c r="E48" s="136"/>
      <c r="F48" s="136"/>
      <c r="G48" s="136"/>
    </row>
    <row r="49" spans="1:10" x14ac:dyDescent="0.2">
      <c r="A49" s="136"/>
      <c r="B49" s="136"/>
      <c r="C49" s="136"/>
      <c r="D49" s="138"/>
      <c r="E49" s="136"/>
      <c r="F49" s="136"/>
      <c r="G49" s="136"/>
    </row>
    <row r="50" spans="1:10" x14ac:dyDescent="0.2">
      <c r="A50" s="137" t="s">
        <v>415</v>
      </c>
      <c r="B50" s="137"/>
      <c r="C50" s="137"/>
      <c r="D50" s="139">
        <f>SUM(D46:D49)</f>
        <v>3326.4064449813332</v>
      </c>
      <c r="E50" s="136"/>
      <c r="F50" s="136"/>
      <c r="G50" s="136"/>
    </row>
    <row r="51" spans="1:10" ht="13.5" thickBot="1" x14ac:dyDescent="0.25">
      <c r="A51" s="136"/>
      <c r="B51" s="136"/>
      <c r="C51" s="136"/>
      <c r="D51" s="136"/>
      <c r="E51" s="136"/>
      <c r="F51" s="136"/>
      <c r="G51" s="136"/>
    </row>
    <row r="52" spans="1:10" ht="13.5" thickBot="1" x14ac:dyDescent="0.25">
      <c r="A52" s="140" t="s">
        <v>445</v>
      </c>
      <c r="B52" s="141"/>
      <c r="C52" s="141"/>
      <c r="D52" s="142">
        <v>220</v>
      </c>
      <c r="E52" s="143" t="s">
        <v>446</v>
      </c>
      <c r="F52" s="136" t="s">
        <v>447</v>
      </c>
      <c r="G52" s="136"/>
    </row>
    <row r="53" spans="1:10" ht="13.5" thickBot="1" x14ac:dyDescent="0.25">
      <c r="A53" s="136"/>
      <c r="B53" s="136"/>
      <c r="C53" s="136"/>
      <c r="D53" s="136"/>
      <c r="E53" s="136"/>
      <c r="F53" s="136"/>
      <c r="G53" s="136"/>
    </row>
    <row r="54" spans="1:10" ht="13.5" thickBot="1" x14ac:dyDescent="0.25">
      <c r="A54" s="144" t="s">
        <v>448</v>
      </c>
      <c r="B54" s="145"/>
      <c r="C54" s="145"/>
      <c r="D54" s="146">
        <f>D50/D52</f>
        <v>15.120029295369696</v>
      </c>
      <c r="E54" s="136"/>
      <c r="F54" s="136"/>
      <c r="G54" s="136"/>
    </row>
    <row r="55" spans="1:10" ht="13.5" thickBot="1" x14ac:dyDescent="0.25">
      <c r="A55" s="136"/>
      <c r="B55" s="136"/>
      <c r="C55" s="136"/>
      <c r="D55" s="136"/>
      <c r="E55" s="136"/>
      <c r="F55" s="136"/>
      <c r="G55" s="136"/>
    </row>
    <row r="56" spans="1:10" ht="13.5" thickBot="1" x14ac:dyDescent="0.25">
      <c r="A56" s="140" t="s">
        <v>449</v>
      </c>
      <c r="B56" s="141"/>
      <c r="C56" s="141"/>
      <c r="D56" s="142">
        <v>15</v>
      </c>
      <c r="E56" s="136"/>
      <c r="F56" s="136"/>
      <c r="G56" s="136"/>
    </row>
    <row r="57" spans="1:10" ht="13.5" thickBot="1" x14ac:dyDescent="0.25">
      <c r="A57" s="136"/>
      <c r="B57" s="136"/>
      <c r="C57" s="136"/>
      <c r="D57" s="136"/>
      <c r="E57" s="136"/>
      <c r="F57" s="136"/>
      <c r="G57" s="136"/>
    </row>
    <row r="58" spans="1:10" ht="13.5" thickBot="1" x14ac:dyDescent="0.25">
      <c r="A58" s="144" t="s">
        <v>450</v>
      </c>
      <c r="B58" s="145"/>
      <c r="C58" s="145"/>
      <c r="D58" s="146">
        <f>D54*D56</f>
        <v>226.80043943054542</v>
      </c>
      <c r="E58" s="136"/>
      <c r="F58" s="136"/>
      <c r="G58" s="136"/>
    </row>
    <row r="62" spans="1:10" x14ac:dyDescent="0.2">
      <c r="A62" s="576" t="s">
        <v>451</v>
      </c>
      <c r="B62" s="576"/>
      <c r="C62" s="576"/>
      <c r="D62" s="576"/>
      <c r="E62" s="576"/>
      <c r="F62" s="576"/>
      <c r="G62" s="576"/>
      <c r="H62" s="576"/>
      <c r="I62" s="576"/>
      <c r="J62" s="576"/>
    </row>
    <row r="63" spans="1:10" x14ac:dyDescent="0.2">
      <c r="A63" s="576"/>
      <c r="B63" s="576"/>
      <c r="C63" s="576"/>
      <c r="D63" s="576"/>
      <c r="E63" s="576"/>
      <c r="F63" s="576"/>
      <c r="G63" s="576"/>
      <c r="H63" s="576"/>
      <c r="I63" s="576"/>
      <c r="J63" s="576"/>
    </row>
    <row r="64" spans="1:10" x14ac:dyDescent="0.2">
      <c r="A64" s="576"/>
      <c r="B64" s="576"/>
      <c r="C64" s="576"/>
      <c r="D64" s="576"/>
      <c r="E64" s="576"/>
      <c r="F64" s="576"/>
      <c r="G64" s="576"/>
      <c r="H64" s="576"/>
      <c r="I64" s="576"/>
      <c r="J64" s="576"/>
    </row>
    <row r="65" spans="1:10" x14ac:dyDescent="0.2">
      <c r="A65" s="576"/>
      <c r="B65" s="576"/>
      <c r="C65" s="576"/>
      <c r="D65" s="576"/>
      <c r="E65" s="576"/>
      <c r="F65" s="576"/>
      <c r="G65" s="576"/>
      <c r="H65" s="576"/>
      <c r="I65" s="576"/>
      <c r="J65" s="576"/>
    </row>
    <row r="66" spans="1:10" x14ac:dyDescent="0.2">
      <c r="A66" s="576"/>
      <c r="B66" s="576"/>
      <c r="C66" s="576"/>
      <c r="D66" s="576"/>
      <c r="E66" s="576"/>
      <c r="F66" s="576"/>
      <c r="G66" s="576"/>
      <c r="H66" s="576"/>
      <c r="I66" s="576"/>
      <c r="J66" s="576"/>
    </row>
    <row r="67" spans="1:10" x14ac:dyDescent="0.2">
      <c r="A67" s="576"/>
      <c r="B67" s="576"/>
      <c r="C67" s="576"/>
      <c r="D67" s="576"/>
      <c r="E67" s="576"/>
      <c r="F67" s="576"/>
      <c r="G67" s="576"/>
      <c r="H67" s="576"/>
      <c r="I67" s="576"/>
      <c r="J67" s="576"/>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L57"/>
  <sheetViews>
    <sheetView zoomScale="85" zoomScaleNormal="85" workbookViewId="0">
      <selection activeCell="B1" sqref="B1"/>
    </sheetView>
  </sheetViews>
  <sheetFormatPr defaultRowHeight="12.75" x14ac:dyDescent="0.2"/>
  <cols>
    <col min="1" max="1" width="3.7109375" style="185" bestFit="1" customWidth="1"/>
    <col min="2" max="2" width="47.7109375" customWidth="1"/>
    <col min="3" max="3" width="6.7109375" customWidth="1"/>
    <col min="4" max="4" width="5.5703125" customWidth="1"/>
    <col min="5" max="6" width="10.28515625" bestFit="1" customWidth="1"/>
    <col min="7" max="7" width="11.7109375" bestFit="1" customWidth="1"/>
    <col min="8" max="8" width="9" customWidth="1"/>
    <col min="9" max="9" width="9.140625" customWidth="1"/>
    <col min="10" max="10" width="9.28515625" customWidth="1"/>
    <col min="11" max="11" width="17.140625" bestFit="1" customWidth="1"/>
    <col min="12" max="12" width="14"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2" ht="21.75" customHeight="1" x14ac:dyDescent="0.2">
      <c r="A1">
        <v>252</v>
      </c>
      <c r="B1" s="257"/>
      <c r="C1" s="257"/>
      <c r="D1" s="257"/>
      <c r="E1" s="257"/>
      <c r="F1" s="257"/>
      <c r="G1" s="257"/>
      <c r="H1" s="257"/>
      <c r="I1" s="257"/>
      <c r="J1" s="257"/>
      <c r="K1" s="257"/>
      <c r="L1" s="258"/>
    </row>
    <row r="2" spans="1:12" ht="12.95" customHeight="1" x14ac:dyDescent="0.2">
      <c r="A2" s="227" t="s">
        <v>37</v>
      </c>
      <c r="B2" s="595"/>
      <c r="C2" s="595"/>
      <c r="D2" s="595"/>
      <c r="E2" s="240" t="s">
        <v>267</v>
      </c>
      <c r="F2" s="606"/>
      <c r="G2" s="595"/>
      <c r="H2" s="595"/>
      <c r="I2" s="595"/>
      <c r="J2" s="217" t="s">
        <v>268</v>
      </c>
      <c r="K2" s="765"/>
      <c r="L2" s="766"/>
    </row>
    <row r="3" spans="1:12" ht="12.95" customHeight="1" x14ac:dyDescent="0.2">
      <c r="A3" s="228" t="s">
        <v>39</v>
      </c>
      <c r="B3" s="601"/>
      <c r="C3" s="601"/>
      <c r="D3" s="601"/>
      <c r="E3" s="243" t="s">
        <v>267</v>
      </c>
      <c r="F3" s="603"/>
      <c r="G3" s="597"/>
      <c r="H3" s="597"/>
      <c r="I3" s="597"/>
      <c r="J3" s="219" t="s">
        <v>268</v>
      </c>
      <c r="K3" s="767"/>
      <c r="L3" s="768"/>
    </row>
    <row r="4" spans="1:12" ht="12.95" customHeight="1" x14ac:dyDescent="0.2">
      <c r="A4" s="229" t="s">
        <v>41</v>
      </c>
      <c r="B4" s="599"/>
      <c r="C4" s="599"/>
      <c r="D4" s="599"/>
      <c r="E4" s="172" t="s">
        <v>267</v>
      </c>
      <c r="F4" s="604"/>
      <c r="G4" s="688"/>
      <c r="H4" s="688"/>
      <c r="I4" s="688"/>
      <c r="J4" s="221" t="s">
        <v>268</v>
      </c>
      <c r="K4" s="769"/>
      <c r="L4" s="770"/>
    </row>
    <row r="5" spans="1:12" x14ac:dyDescent="0.2">
      <c r="A5" s="189" t="s">
        <v>44</v>
      </c>
      <c r="B5" s="601"/>
      <c r="C5" s="601"/>
      <c r="D5" s="601"/>
      <c r="E5" s="171" t="s">
        <v>267</v>
      </c>
      <c r="F5" s="603"/>
      <c r="G5" s="597"/>
      <c r="H5" s="597"/>
      <c r="I5" s="597"/>
      <c r="J5" s="171" t="s">
        <v>268</v>
      </c>
      <c r="K5" s="771"/>
      <c r="L5" s="602"/>
    </row>
    <row r="6" spans="1:12" x14ac:dyDescent="0.2">
      <c r="A6" s="190" t="s">
        <v>76</v>
      </c>
      <c r="B6" s="599"/>
      <c r="C6" s="599"/>
      <c r="D6" s="599"/>
      <c r="E6" s="172" t="s">
        <v>267</v>
      </c>
      <c r="F6" s="604"/>
      <c r="G6" s="599"/>
      <c r="H6" s="599"/>
      <c r="I6" s="599"/>
      <c r="J6" s="172" t="s">
        <v>268</v>
      </c>
      <c r="K6" s="599"/>
      <c r="L6" s="600"/>
    </row>
    <row r="7" spans="1:12" x14ac:dyDescent="0.2">
      <c r="A7" s="191" t="s">
        <v>78</v>
      </c>
      <c r="B7" s="717"/>
      <c r="C7" s="717"/>
      <c r="D7" s="717"/>
      <c r="E7" s="192" t="s">
        <v>267</v>
      </c>
      <c r="F7" s="762"/>
      <c r="G7" s="763"/>
      <c r="H7" s="763"/>
      <c r="I7" s="763"/>
      <c r="J7" s="193" t="s">
        <v>268</v>
      </c>
      <c r="K7" s="717"/>
      <c r="L7" s="764"/>
    </row>
    <row r="8" spans="1:12" x14ac:dyDescent="0.2">
      <c r="A8" s="759" t="s">
        <v>273</v>
      </c>
      <c r="B8" s="760" t="s">
        <v>452</v>
      </c>
      <c r="C8" s="759" t="s">
        <v>275</v>
      </c>
      <c r="D8" s="759" t="s">
        <v>276</v>
      </c>
      <c r="E8" s="761" t="s">
        <v>277</v>
      </c>
      <c r="F8" s="761"/>
      <c r="G8" s="761"/>
      <c r="H8" s="761"/>
      <c r="I8" s="761"/>
      <c r="J8" s="761"/>
      <c r="K8" s="772" t="s">
        <v>278</v>
      </c>
      <c r="L8" s="772"/>
    </row>
    <row r="9" spans="1:12" ht="13.5" x14ac:dyDescent="0.2">
      <c r="A9" s="759"/>
      <c r="B9" s="760"/>
      <c r="C9" s="759"/>
      <c r="D9" s="759"/>
      <c r="E9" s="353" t="s">
        <v>37</v>
      </c>
      <c r="F9" s="354" t="s">
        <v>39</v>
      </c>
      <c r="G9" s="354" t="s">
        <v>41</v>
      </c>
      <c r="H9" s="354" t="s">
        <v>44</v>
      </c>
      <c r="I9" s="354" t="s">
        <v>76</v>
      </c>
      <c r="J9" s="354" t="s">
        <v>78</v>
      </c>
      <c r="K9" s="760" t="s">
        <v>279</v>
      </c>
      <c r="L9" s="760" t="s">
        <v>280</v>
      </c>
    </row>
    <row r="10" spans="1:12" ht="23.25" customHeight="1" x14ac:dyDescent="0.2">
      <c r="A10" s="759"/>
      <c r="B10" s="760"/>
      <c r="C10" s="759"/>
      <c r="D10" s="759"/>
      <c r="E10" s="352" t="s">
        <v>281</v>
      </c>
      <c r="F10" s="352" t="s">
        <v>281</v>
      </c>
      <c r="G10" s="352" t="s">
        <v>281</v>
      </c>
      <c r="H10" s="352" t="s">
        <v>281</v>
      </c>
      <c r="I10" s="352" t="s">
        <v>281</v>
      </c>
      <c r="J10" s="352" t="s">
        <v>281</v>
      </c>
      <c r="K10" s="760"/>
      <c r="L10" s="760"/>
    </row>
    <row r="11" spans="1:12" s="179" customFormat="1" ht="14.1" customHeight="1" x14ac:dyDescent="0.2">
      <c r="A11" s="355">
        <v>2</v>
      </c>
      <c r="B11" s="358" t="s">
        <v>453</v>
      </c>
      <c r="C11" s="181" t="s">
        <v>275</v>
      </c>
      <c r="D11" s="356">
        <v>1</v>
      </c>
      <c r="E11" s="414">
        <v>250</v>
      </c>
      <c r="F11" s="415">
        <v>273.99</v>
      </c>
      <c r="G11" s="415">
        <v>309.08999999999997</v>
      </c>
      <c r="H11" s="415">
        <v>295.7</v>
      </c>
      <c r="I11" s="415">
        <v>209.4</v>
      </c>
      <c r="J11" s="415">
        <v>254.1</v>
      </c>
      <c r="K11" s="357">
        <f t="shared" ref="K11:K15" si="0">AVERAGE(E11:J11)</f>
        <v>265.38</v>
      </c>
      <c r="L11" s="357">
        <f t="shared" ref="L11:L15" si="1">K11*D11</f>
        <v>265.38</v>
      </c>
    </row>
    <row r="12" spans="1:12" s="179" customFormat="1" ht="14.1" customHeight="1" x14ac:dyDescent="0.2">
      <c r="A12" s="355">
        <v>4</v>
      </c>
      <c r="B12" s="378" t="s">
        <v>454</v>
      </c>
      <c r="C12" s="181" t="s">
        <v>275</v>
      </c>
      <c r="D12" s="356">
        <v>1</v>
      </c>
      <c r="E12" s="414">
        <v>251.09</v>
      </c>
      <c r="F12" s="415">
        <v>230</v>
      </c>
      <c r="G12" s="415">
        <v>302.14999999999998</v>
      </c>
      <c r="H12" s="415">
        <v>222.989</v>
      </c>
      <c r="I12" s="415">
        <v>249.88</v>
      </c>
      <c r="J12" s="415">
        <v>260.95999999999998</v>
      </c>
      <c r="K12" s="357">
        <f t="shared" si="0"/>
        <v>252.84483333333333</v>
      </c>
      <c r="L12" s="357">
        <f t="shared" si="1"/>
        <v>252.84483333333333</v>
      </c>
    </row>
    <row r="13" spans="1:12" s="179" customFormat="1" ht="14.1" customHeight="1" x14ac:dyDescent="0.2">
      <c r="A13" s="355">
        <v>5</v>
      </c>
      <c r="B13" s="377" t="s">
        <v>455</v>
      </c>
      <c r="C13" s="181" t="s">
        <v>275</v>
      </c>
      <c r="D13" s="356">
        <v>9</v>
      </c>
      <c r="E13" s="414">
        <v>23.99</v>
      </c>
      <c r="F13" s="415">
        <v>22</v>
      </c>
      <c r="G13" s="415">
        <v>19.940000000000001</v>
      </c>
      <c r="H13" s="415">
        <v>19.989999999999998</v>
      </c>
      <c r="I13" s="415">
        <v>18.510000000000002</v>
      </c>
      <c r="J13" s="415">
        <v>19.11</v>
      </c>
      <c r="K13" s="357">
        <f t="shared" si="0"/>
        <v>20.59</v>
      </c>
      <c r="L13" s="357">
        <f t="shared" si="1"/>
        <v>185.31</v>
      </c>
    </row>
    <row r="14" spans="1:12" s="179" customFormat="1" ht="14.1" customHeight="1" x14ac:dyDescent="0.2">
      <c r="A14" s="355">
        <v>6</v>
      </c>
      <c r="B14" s="377" t="s">
        <v>456</v>
      </c>
      <c r="C14" s="181" t="s">
        <v>275</v>
      </c>
      <c r="D14" s="356">
        <v>9</v>
      </c>
      <c r="E14" s="414">
        <v>28.9</v>
      </c>
      <c r="F14" s="415">
        <v>30</v>
      </c>
      <c r="G14" s="415">
        <v>31.9</v>
      </c>
      <c r="H14" s="415">
        <v>25.02</v>
      </c>
      <c r="I14" s="415">
        <v>29.99</v>
      </c>
      <c r="J14" s="415">
        <v>28.91</v>
      </c>
      <c r="K14" s="357">
        <f t="shared" si="0"/>
        <v>29.12</v>
      </c>
      <c r="L14" s="357">
        <f t="shared" si="1"/>
        <v>262.08</v>
      </c>
    </row>
    <row r="15" spans="1:12" s="179" customFormat="1" ht="14.1" customHeight="1" x14ac:dyDescent="0.2">
      <c r="A15" s="355">
        <v>12</v>
      </c>
      <c r="B15" t="s">
        <v>457</v>
      </c>
      <c r="C15" s="181" t="s">
        <v>275</v>
      </c>
      <c r="D15" s="356">
        <v>9</v>
      </c>
      <c r="E15" s="414">
        <v>30.93</v>
      </c>
      <c r="F15" s="415">
        <v>29</v>
      </c>
      <c r="G15" s="415">
        <v>35</v>
      </c>
      <c r="H15" s="415">
        <v>30</v>
      </c>
      <c r="I15" s="415">
        <v>26.16</v>
      </c>
      <c r="J15" s="415">
        <v>28.99</v>
      </c>
      <c r="K15" s="357">
        <f t="shared" si="0"/>
        <v>30.013333333333335</v>
      </c>
      <c r="L15" s="357">
        <f t="shared" si="1"/>
        <v>270.12</v>
      </c>
    </row>
    <row r="16" spans="1:12" s="179" customFormat="1" ht="12.95" customHeight="1" thickBot="1" x14ac:dyDescent="0.25">
      <c r="A16" s="693" t="s">
        <v>458</v>
      </c>
      <c r="B16" s="694"/>
      <c r="C16" s="694"/>
      <c r="D16" s="694"/>
      <c r="E16" s="694"/>
      <c r="F16" s="694"/>
      <c r="G16" s="694"/>
      <c r="H16" s="694"/>
      <c r="I16" s="694"/>
      <c r="J16" s="695"/>
      <c r="K16" s="584">
        <f>SUM(L11:L15)</f>
        <v>1235.7348333333334</v>
      </c>
      <c r="L16" s="585"/>
    </row>
    <row r="17" spans="1:12" s="179" customFormat="1" ht="12.95" customHeight="1" thickBot="1" x14ac:dyDescent="0.25">
      <c r="A17" s="169"/>
      <c r="B17" s="169"/>
      <c r="C17" s="169"/>
      <c r="D17" s="169"/>
      <c r="E17" s="169"/>
      <c r="F17" s="169"/>
      <c r="G17" s="169"/>
      <c r="H17" s="169"/>
      <c r="I17" s="169"/>
      <c r="J17" s="169"/>
      <c r="K17" s="211"/>
      <c r="L17" s="211"/>
    </row>
    <row r="18" spans="1:12" s="179" customFormat="1" ht="12.95" customHeight="1" x14ac:dyDescent="0.2">
      <c r="A18" s="581" t="s">
        <v>459</v>
      </c>
      <c r="B18" s="582"/>
      <c r="C18" s="582"/>
      <c r="D18" s="582"/>
      <c r="E18" s="582"/>
      <c r="F18" s="582"/>
      <c r="G18" s="582"/>
      <c r="H18" s="582"/>
      <c r="I18" s="582"/>
      <c r="J18" s="583"/>
      <c r="K18" s="586">
        <f>(K16/60/'Limpeza - Item 5'!H174)</f>
        <v>20.595580555555557</v>
      </c>
      <c r="L18" s="587"/>
    </row>
    <row r="19" spans="1:12" s="179" customFormat="1" ht="12.95" customHeight="1" thickBot="1" x14ac:dyDescent="0.25">
      <c r="A19" s="169"/>
      <c r="B19" s="169"/>
      <c r="C19" s="169"/>
      <c r="D19" s="169"/>
      <c r="E19" s="169"/>
      <c r="F19" s="169"/>
      <c r="G19" s="169"/>
      <c r="H19" s="169"/>
      <c r="I19" s="169"/>
      <c r="J19" s="169"/>
      <c r="K19" s="205"/>
      <c r="L19" s="205"/>
    </row>
    <row r="20" spans="1:12" s="179" customFormat="1" ht="12.95" customHeight="1" x14ac:dyDescent="0.2">
      <c r="A20" s="169"/>
      <c r="B20" s="773" t="s">
        <v>460</v>
      </c>
      <c r="C20" s="774"/>
      <c r="D20" s="774"/>
      <c r="E20" s="774"/>
      <c r="F20" s="774"/>
      <c r="G20" s="774"/>
      <c r="H20" s="774"/>
      <c r="I20" s="774"/>
      <c r="J20" s="774"/>
      <c r="K20" s="370" t="s">
        <v>26</v>
      </c>
      <c r="L20" s="371" t="s">
        <v>461</v>
      </c>
    </row>
    <row r="21" spans="1:12" s="179" customFormat="1" ht="12.95" customHeight="1" x14ac:dyDescent="0.2">
      <c r="A21" s="169"/>
      <c r="B21" s="443" t="s">
        <v>462</v>
      </c>
      <c r="C21" s="512"/>
      <c r="D21" s="512"/>
      <c r="E21" s="512"/>
      <c r="F21" s="512"/>
      <c r="G21" s="512"/>
      <c r="H21" s="512"/>
      <c r="I21" s="512"/>
      <c r="J21" s="512"/>
      <c r="K21" s="339"/>
      <c r="L21" s="372">
        <v>1483.55</v>
      </c>
    </row>
    <row r="22" spans="1:12" s="179" customFormat="1" ht="12.95" customHeight="1" x14ac:dyDescent="0.2">
      <c r="A22" s="169"/>
      <c r="B22" s="443" t="s">
        <v>463</v>
      </c>
      <c r="C22" s="512"/>
      <c r="D22" s="512"/>
      <c r="E22" s="512"/>
      <c r="F22" s="512"/>
      <c r="G22" s="512"/>
      <c r="H22" s="512"/>
      <c r="I22" s="512"/>
      <c r="J22" s="512"/>
      <c r="K22" s="339"/>
      <c r="L22" s="372">
        <v>30</v>
      </c>
    </row>
    <row r="23" spans="1:12" s="179" customFormat="1" ht="12.95" customHeight="1" x14ac:dyDescent="0.2">
      <c r="A23" s="169"/>
      <c r="B23" s="443" t="s">
        <v>464</v>
      </c>
      <c r="C23" s="512"/>
      <c r="D23" s="512"/>
      <c r="E23" s="512"/>
      <c r="F23" s="512"/>
      <c r="G23" s="512"/>
      <c r="H23" s="512"/>
      <c r="I23" s="512"/>
      <c r="J23" s="512"/>
      <c r="K23" s="339"/>
      <c r="L23" s="373">
        <v>170</v>
      </c>
    </row>
    <row r="24" spans="1:12" s="179" customFormat="1" ht="12.95" customHeight="1" x14ac:dyDescent="0.2">
      <c r="A24" s="169"/>
      <c r="B24" s="443" t="s">
        <v>465</v>
      </c>
      <c r="C24" s="512"/>
      <c r="D24" s="512"/>
      <c r="E24" s="512"/>
      <c r="F24" s="512"/>
      <c r="G24" s="512"/>
      <c r="H24" s="512"/>
      <c r="I24" s="512"/>
      <c r="J24" s="512"/>
      <c r="K24" s="150">
        <v>50</v>
      </c>
      <c r="L24" s="373">
        <f>K24*60</f>
        <v>3000</v>
      </c>
    </row>
    <row r="25" spans="1:12" s="179" customFormat="1" ht="12.95" customHeight="1" x14ac:dyDescent="0.2">
      <c r="A25" s="169"/>
      <c r="B25" s="443"/>
      <c r="C25" s="512"/>
      <c r="D25" s="512"/>
      <c r="E25" s="512"/>
      <c r="F25" s="512"/>
      <c r="G25" s="512"/>
      <c r="H25" s="512"/>
      <c r="I25" s="512"/>
      <c r="J25" s="512"/>
      <c r="K25" s="339"/>
      <c r="L25" s="374"/>
    </row>
    <row r="26" spans="1:12" s="179" customFormat="1" ht="12.95" customHeight="1" x14ac:dyDescent="0.2">
      <c r="A26" s="169"/>
      <c r="B26" s="547"/>
      <c r="C26" s="548"/>
      <c r="D26" s="548"/>
      <c r="E26" s="548"/>
      <c r="F26" s="548"/>
      <c r="G26" s="548"/>
      <c r="H26" s="548"/>
      <c r="I26" s="548"/>
      <c r="J26" s="548"/>
      <c r="K26" s="548"/>
      <c r="L26" s="753"/>
    </row>
    <row r="27" spans="1:12" s="179" customFormat="1" ht="12.95" customHeight="1" thickBot="1" x14ac:dyDescent="0.25">
      <c r="A27" s="169"/>
      <c r="B27" s="754" t="s">
        <v>466</v>
      </c>
      <c r="C27" s="755"/>
      <c r="D27" s="755"/>
      <c r="E27" s="755"/>
      <c r="F27" s="755"/>
      <c r="G27" s="755"/>
      <c r="H27" s="755"/>
      <c r="I27" s="755"/>
      <c r="J27" s="756"/>
      <c r="K27" s="757">
        <f>(L21+L22+L23+L24)/60/'Limpeza - Item 5'!H174</f>
        <v>78.05916666666667</v>
      </c>
      <c r="L27" s="758"/>
    </row>
    <row r="28" spans="1:12" s="179" customFormat="1" ht="12.95" customHeight="1" x14ac:dyDescent="0.2">
      <c r="A28" s="169"/>
      <c r="B28" s="169"/>
      <c r="C28" s="169"/>
      <c r="D28" s="169"/>
      <c r="E28" s="169"/>
      <c r="F28" s="169"/>
      <c r="G28" s="169"/>
      <c r="H28" s="169"/>
      <c r="I28" s="169"/>
      <c r="J28" s="169"/>
      <c r="K28" s="205"/>
      <c r="L28" s="205"/>
    </row>
    <row r="29" spans="1:12" s="179" customFormat="1" ht="12.95" customHeight="1" thickBot="1" x14ac:dyDescent="0.25">
      <c r="A29" s="169"/>
      <c r="B29" s="169"/>
      <c r="C29" s="169"/>
      <c r="D29" s="169"/>
      <c r="E29" s="169"/>
      <c r="F29" s="169"/>
      <c r="G29" s="169"/>
      <c r="H29" s="169"/>
      <c r="I29" s="169"/>
      <c r="J29" s="169"/>
      <c r="K29" s="205"/>
      <c r="L29" s="205"/>
    </row>
    <row r="30" spans="1:12" s="179" customFormat="1" ht="12.95" customHeight="1" thickBot="1" x14ac:dyDescent="0.25">
      <c r="A30" s="581" t="s">
        <v>459</v>
      </c>
      <c r="B30" s="582"/>
      <c r="C30" s="582"/>
      <c r="D30" s="582"/>
      <c r="E30" s="582"/>
      <c r="F30" s="582"/>
      <c r="G30" s="582"/>
      <c r="H30" s="582"/>
      <c r="I30" s="582"/>
      <c r="J30" s="583"/>
      <c r="K30" s="586">
        <f>K18+K27</f>
        <v>98.654747222222227</v>
      </c>
      <c r="L30" s="587"/>
    </row>
    <row r="31" spans="1:12" s="179" customFormat="1" ht="12.95" customHeight="1" x14ac:dyDescent="0.2">
      <c r="A31" s="169"/>
      <c r="B31" s="169"/>
      <c r="C31" s="169"/>
      <c r="D31" s="169"/>
      <c r="E31" s="169"/>
      <c r="F31" s="169"/>
      <c r="G31" s="169"/>
      <c r="H31" s="169"/>
      <c r="I31" s="169"/>
      <c r="J31" s="169"/>
      <c r="K31" s="205"/>
      <c r="L31" s="205"/>
    </row>
    <row r="32" spans="1:12" s="179" customFormat="1" ht="12.95" customHeight="1" x14ac:dyDescent="0.2">
      <c r="A32" s="169"/>
      <c r="B32" s="169"/>
      <c r="C32" s="169"/>
      <c r="D32" s="169"/>
      <c r="E32" s="169"/>
      <c r="F32" s="169"/>
      <c r="G32" s="169"/>
      <c r="H32" s="169"/>
      <c r="I32" s="169"/>
      <c r="J32" s="169"/>
      <c r="K32" s="205"/>
      <c r="L32" s="205"/>
    </row>
    <row r="33" spans="1:12" s="179" customFormat="1" ht="12.95" customHeight="1" x14ac:dyDescent="0.2">
      <c r="A33" s="169"/>
      <c r="B33" s="169"/>
      <c r="C33" s="169"/>
      <c r="D33" s="169"/>
      <c r="E33" s="169"/>
      <c r="F33" s="169"/>
      <c r="G33" s="169"/>
      <c r="H33" s="169"/>
      <c r="I33" s="169"/>
      <c r="J33" s="169"/>
      <c r="K33" s="205"/>
      <c r="L33" s="205"/>
    </row>
    <row r="34" spans="1:12" s="179" customFormat="1" ht="12.95" customHeight="1" thickBot="1" x14ac:dyDescent="0.25">
      <c r="A34" s="169"/>
      <c r="B34" s="169"/>
      <c r="C34" s="169"/>
      <c r="D34" s="169"/>
      <c r="E34" s="169"/>
      <c r="F34" s="169"/>
      <c r="G34" s="169"/>
      <c r="H34" s="169"/>
      <c r="I34" s="169"/>
      <c r="J34" s="169"/>
      <c r="K34" s="205"/>
      <c r="L34" s="205"/>
    </row>
    <row r="35" spans="1:12" s="179" customFormat="1" x14ac:dyDescent="0.2">
      <c r="A35" s="639"/>
      <c r="B35" s="640"/>
      <c r="C35" s="645" t="s">
        <v>295</v>
      </c>
      <c r="D35" s="648"/>
      <c r="E35" s="649"/>
      <c r="F35" s="649"/>
      <c r="G35" s="649"/>
      <c r="H35" s="649"/>
      <c r="I35" s="649"/>
      <c r="J35" s="649"/>
      <c r="K35" s="649"/>
      <c r="L35" s="650"/>
    </row>
    <row r="36" spans="1:12" s="179" customFormat="1" x14ac:dyDescent="0.2">
      <c r="A36" s="641"/>
      <c r="B36" s="642"/>
      <c r="C36" s="646"/>
      <c r="D36" s="651"/>
      <c r="E36" s="652"/>
      <c r="F36" s="652"/>
      <c r="G36" s="652"/>
      <c r="H36" s="652"/>
      <c r="I36" s="652"/>
      <c r="J36" s="652"/>
      <c r="K36" s="652"/>
      <c r="L36" s="653"/>
    </row>
    <row r="37" spans="1:12" x14ac:dyDescent="0.2">
      <c r="A37" s="641"/>
      <c r="B37" s="642"/>
      <c r="C37" s="646"/>
      <c r="D37" s="651"/>
      <c r="E37" s="652"/>
      <c r="F37" s="652"/>
      <c r="G37" s="652"/>
      <c r="H37" s="652"/>
      <c r="I37" s="652"/>
      <c r="J37" s="652"/>
      <c r="K37" s="652"/>
      <c r="L37" s="653"/>
    </row>
    <row r="38" spans="1:12" x14ac:dyDescent="0.2">
      <c r="A38" s="643"/>
      <c r="B38" s="644"/>
      <c r="C38" s="647"/>
      <c r="D38" s="654"/>
      <c r="E38" s="655"/>
      <c r="F38" s="655"/>
      <c r="G38" s="655"/>
      <c r="H38" s="655"/>
      <c r="I38" s="655"/>
      <c r="J38" s="655"/>
      <c r="K38" s="655"/>
      <c r="L38" s="656"/>
    </row>
    <row r="40" spans="1:12" x14ac:dyDescent="0.2">
      <c r="A40" s="752" t="s">
        <v>467</v>
      </c>
      <c r="B40" s="658"/>
      <c r="C40" s="658"/>
      <c r="D40" s="658"/>
      <c r="E40" s="658"/>
      <c r="F40" s="658"/>
      <c r="G40" s="658"/>
      <c r="H40" s="658"/>
      <c r="I40" s="658"/>
      <c r="J40" s="658"/>
      <c r="K40" s="658"/>
      <c r="L40" s="659"/>
    </row>
    <row r="41" spans="1:12" ht="20.25" customHeight="1" x14ac:dyDescent="0.2">
      <c r="A41" s="660"/>
      <c r="B41" s="579"/>
      <c r="C41" s="579"/>
      <c r="D41" s="579"/>
      <c r="E41" s="579"/>
      <c r="F41" s="579"/>
      <c r="G41" s="579"/>
      <c r="H41" s="579"/>
      <c r="I41" s="579"/>
      <c r="J41" s="579"/>
      <c r="K41" s="579"/>
      <c r="L41" s="661"/>
    </row>
    <row r="42" spans="1:12" x14ac:dyDescent="0.2">
      <c r="A42" s="660"/>
      <c r="B42" s="579"/>
      <c r="C42" s="579"/>
      <c r="D42" s="579"/>
      <c r="E42" s="579"/>
      <c r="F42" s="579"/>
      <c r="G42" s="579"/>
      <c r="H42" s="579"/>
      <c r="I42" s="579"/>
      <c r="J42" s="579"/>
      <c r="K42" s="579"/>
      <c r="L42" s="661"/>
    </row>
    <row r="43" spans="1:12" ht="14.25" customHeight="1" x14ac:dyDescent="0.2">
      <c r="A43" s="660"/>
      <c r="B43" s="579"/>
      <c r="C43" s="579"/>
      <c r="D43" s="579"/>
      <c r="E43" s="579"/>
      <c r="F43" s="579"/>
      <c r="G43" s="579"/>
      <c r="H43" s="579"/>
      <c r="I43" s="579"/>
      <c r="J43" s="579"/>
      <c r="K43" s="579"/>
      <c r="L43" s="661"/>
    </row>
    <row r="44" spans="1:12" x14ac:dyDescent="0.2">
      <c r="A44" s="662"/>
      <c r="B44" s="663"/>
      <c r="C44" s="663"/>
      <c r="D44" s="663"/>
      <c r="E44" s="663"/>
      <c r="F44" s="663"/>
      <c r="G44" s="663"/>
      <c r="H44" s="663"/>
      <c r="I44" s="663"/>
      <c r="J44" s="663"/>
      <c r="K44" s="663"/>
      <c r="L44" s="664"/>
    </row>
    <row r="49" spans="1:12" x14ac:dyDescent="0.2">
      <c r="A49" s="759" t="s">
        <v>273</v>
      </c>
      <c r="B49" s="760" t="s">
        <v>468</v>
      </c>
      <c r="C49" s="759" t="s">
        <v>275</v>
      </c>
      <c r="D49" s="759" t="s">
        <v>276</v>
      </c>
      <c r="E49" s="761" t="s">
        <v>277</v>
      </c>
      <c r="F49" s="761"/>
      <c r="G49" s="761"/>
      <c r="H49" s="761"/>
      <c r="I49" s="761"/>
      <c r="J49" s="761"/>
      <c r="K49" s="772" t="s">
        <v>278</v>
      </c>
      <c r="L49" s="772"/>
    </row>
    <row r="50" spans="1:12" ht="13.5" x14ac:dyDescent="0.2">
      <c r="A50" s="759"/>
      <c r="B50" s="760"/>
      <c r="C50" s="759"/>
      <c r="D50" s="759"/>
      <c r="E50" s="353" t="s">
        <v>37</v>
      </c>
      <c r="F50" s="354" t="s">
        <v>39</v>
      </c>
      <c r="G50" s="354" t="s">
        <v>41</v>
      </c>
      <c r="H50" s="354" t="s">
        <v>44</v>
      </c>
      <c r="I50" s="354" t="s">
        <v>76</v>
      </c>
      <c r="J50" s="354" t="s">
        <v>78</v>
      </c>
      <c r="K50" s="760" t="s">
        <v>279</v>
      </c>
      <c r="L50" s="760" t="s">
        <v>280</v>
      </c>
    </row>
    <row r="51" spans="1:12" ht="25.5" x14ac:dyDescent="0.2">
      <c r="A51" s="759"/>
      <c r="B51" s="760"/>
      <c r="C51" s="759"/>
      <c r="D51" s="759"/>
      <c r="E51" s="352" t="s">
        <v>281</v>
      </c>
      <c r="F51" s="352" t="s">
        <v>281</v>
      </c>
      <c r="G51" s="352" t="s">
        <v>281</v>
      </c>
      <c r="H51" s="352" t="s">
        <v>281</v>
      </c>
      <c r="I51" s="352" t="s">
        <v>281</v>
      </c>
      <c r="J51" s="352" t="s">
        <v>281</v>
      </c>
      <c r="K51" s="760"/>
      <c r="L51" s="760"/>
    </row>
    <row r="52" spans="1:12" x14ac:dyDescent="0.2">
      <c r="A52" s="355">
        <v>1</v>
      </c>
      <c r="B52" s="358" t="s">
        <v>469</v>
      </c>
      <c r="C52" s="181" t="s">
        <v>275</v>
      </c>
      <c r="D52" s="356">
        <v>1</v>
      </c>
      <c r="E52" s="425">
        <v>165</v>
      </c>
      <c r="F52" s="425">
        <v>150</v>
      </c>
      <c r="G52" s="425">
        <v>149.5</v>
      </c>
      <c r="H52" s="426">
        <v>121.94</v>
      </c>
      <c r="I52" s="426">
        <v>120</v>
      </c>
      <c r="J52" s="426">
        <v>143.99</v>
      </c>
      <c r="K52" s="357">
        <f>AVERAGE(E52:J52)</f>
        <v>141.73833333333334</v>
      </c>
      <c r="L52" s="357">
        <f>K52*D52</f>
        <v>141.73833333333334</v>
      </c>
    </row>
    <row r="53" spans="1:12" x14ac:dyDescent="0.2">
      <c r="A53" s="355">
        <v>2</v>
      </c>
      <c r="B53" s="358"/>
      <c r="C53" s="199" t="s">
        <v>275</v>
      </c>
      <c r="D53" s="356">
        <v>0</v>
      </c>
      <c r="E53" s="351"/>
      <c r="F53" s="351"/>
      <c r="G53" s="351"/>
      <c r="H53" s="256"/>
      <c r="I53" s="256"/>
      <c r="J53" s="256" t="s">
        <v>44</v>
      </c>
      <c r="K53" s="357"/>
      <c r="L53" s="357"/>
    </row>
    <row r="54" spans="1:12" ht="15" x14ac:dyDescent="0.2">
      <c r="A54" s="355">
        <v>3</v>
      </c>
      <c r="B54" s="365"/>
      <c r="C54" s="366" t="s">
        <v>275</v>
      </c>
      <c r="D54" s="356">
        <v>0</v>
      </c>
      <c r="E54" s="351"/>
      <c r="F54" s="351"/>
      <c r="G54" s="351"/>
      <c r="H54" s="256"/>
      <c r="I54" s="256"/>
      <c r="J54" s="256"/>
      <c r="K54" s="357"/>
      <c r="L54" s="357"/>
    </row>
    <row r="55" spans="1:12" ht="13.5" thickBot="1" x14ac:dyDescent="0.25">
      <c r="A55" s="693" t="s">
        <v>458</v>
      </c>
      <c r="B55" s="694"/>
      <c r="C55" s="694"/>
      <c r="D55" s="694"/>
      <c r="E55" s="694"/>
      <c r="F55" s="694"/>
      <c r="G55" s="694"/>
      <c r="H55" s="694"/>
      <c r="I55" s="694"/>
      <c r="J55" s="695"/>
      <c r="K55" s="584">
        <f>SUM(L52:L54)</f>
        <v>141.73833333333334</v>
      </c>
      <c r="L55" s="585"/>
    </row>
    <row r="56" spans="1:12" ht="13.5" thickBot="1" x14ac:dyDescent="0.25">
      <c r="A56" s="169"/>
      <c r="B56" s="169"/>
      <c r="C56" s="169"/>
      <c r="D56" s="169"/>
      <c r="E56" s="169"/>
      <c r="F56" s="169"/>
      <c r="G56" s="169"/>
      <c r="H56" s="169"/>
      <c r="I56" s="169"/>
      <c r="J56" s="169"/>
      <c r="K56" s="211"/>
      <c r="L56" s="211"/>
    </row>
    <row r="57" spans="1:12" ht="13.5" thickBot="1" x14ac:dyDescent="0.25">
      <c r="A57" s="581" t="s">
        <v>459</v>
      </c>
      <c r="B57" s="582"/>
      <c r="C57" s="582"/>
      <c r="D57" s="582"/>
      <c r="E57" s="582"/>
      <c r="F57" s="582"/>
      <c r="G57" s="582"/>
      <c r="H57" s="582"/>
      <c r="I57" s="582"/>
      <c r="J57" s="583"/>
      <c r="K57" s="586">
        <f>(K55*20%)/12</f>
        <v>2.3623055555555559</v>
      </c>
      <c r="L57" s="587"/>
    </row>
  </sheetData>
  <mergeCells count="57">
    <mergeCell ref="A57:J57"/>
    <mergeCell ref="K57:L57"/>
    <mergeCell ref="B20:J20"/>
    <mergeCell ref="B21:J21"/>
    <mergeCell ref="B22:J22"/>
    <mergeCell ref="A30:J30"/>
    <mergeCell ref="K30:L30"/>
    <mergeCell ref="K49:L49"/>
    <mergeCell ref="K50:K51"/>
    <mergeCell ref="L50:L51"/>
    <mergeCell ref="A55:J55"/>
    <mergeCell ref="K55:L55"/>
    <mergeCell ref="A49:A51"/>
    <mergeCell ref="B49:B51"/>
    <mergeCell ref="C49:C51"/>
    <mergeCell ref="D49:D51"/>
    <mergeCell ref="E49:J49"/>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40:L44"/>
    <mergeCell ref="A16:J16"/>
    <mergeCell ref="K16:L16"/>
    <mergeCell ref="A18:J18"/>
    <mergeCell ref="K18:L18"/>
    <mergeCell ref="A35:B38"/>
    <mergeCell ref="C35:C38"/>
    <mergeCell ref="D35:L38"/>
    <mergeCell ref="B23:J23"/>
    <mergeCell ref="B24:J24"/>
    <mergeCell ref="B25:J25"/>
    <mergeCell ref="B26:L26"/>
    <mergeCell ref="B27:J27"/>
    <mergeCell ref="K27:L27"/>
  </mergeCells>
  <pageMargins left="0.511811024" right="0.511811024" top="0.78740157499999996" bottom="0.78740157499999996" header="0.31496062000000002" footer="0.31496062000000002"/>
  <pageSetup paperSize="9"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1" sqref="B1"/>
    </sheetView>
  </sheetViews>
  <sheetFormatPr defaultRowHeight="12.75" x14ac:dyDescent="0.2"/>
  <cols>
    <col min="1" max="1" width="10.85546875" customWidth="1"/>
  </cols>
  <sheetData>
    <row r="1" spans="1:4" x14ac:dyDescent="0.2">
      <c r="A1" t="s">
        <v>470</v>
      </c>
    </row>
    <row r="3" spans="1:4" x14ac:dyDescent="0.2">
      <c r="A3" s="9" t="s">
        <v>471</v>
      </c>
      <c r="B3">
        <f>'Controle de pragas - Item 6'!I185/'Controle de pragas - Item 6'!I52</f>
        <v>2.9908687933489659</v>
      </c>
    </row>
    <row r="5" spans="1:4" x14ac:dyDescent="0.2">
      <c r="A5" t="s">
        <v>472</v>
      </c>
    </row>
    <row r="7" spans="1:4" x14ac:dyDescent="0.2">
      <c r="A7" t="s">
        <v>473</v>
      </c>
    </row>
    <row r="9" spans="1:4" x14ac:dyDescent="0.2">
      <c r="A9" s="32">
        <v>2.2799999999999998</v>
      </c>
      <c r="B9" t="s">
        <v>474</v>
      </c>
      <c r="D9" s="148" t="s">
        <v>475</v>
      </c>
    </row>
    <row r="10" spans="1:4" x14ac:dyDescent="0.2">
      <c r="A10" s="32" t="s">
        <v>476</v>
      </c>
      <c r="B10" t="s">
        <v>477</v>
      </c>
      <c r="D10" t="s">
        <v>478</v>
      </c>
    </row>
    <row r="11" spans="1:4" x14ac:dyDescent="0.2">
      <c r="A11" s="32" t="s">
        <v>479</v>
      </c>
      <c r="B11" t="s">
        <v>480</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sqref="A1:I1"/>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448" t="s">
        <v>481</v>
      </c>
      <c r="B1" s="449"/>
      <c r="C1" s="449"/>
      <c r="D1" s="449"/>
      <c r="E1" s="449"/>
      <c r="F1" s="449"/>
      <c r="G1" s="449"/>
      <c r="H1" s="449"/>
      <c r="I1" s="450"/>
    </row>
    <row r="2" spans="1:9" x14ac:dyDescent="0.2">
      <c r="A2" s="30"/>
      <c r="B2" s="30"/>
      <c r="C2" s="30"/>
      <c r="D2" s="30"/>
      <c r="E2" s="30"/>
      <c r="F2" s="30"/>
      <c r="G2" s="30"/>
      <c r="H2" s="30"/>
      <c r="I2" s="30"/>
    </row>
    <row r="3" spans="1:9" x14ac:dyDescent="0.2">
      <c r="A3" s="30" t="s">
        <v>482</v>
      </c>
      <c r="B3" s="30"/>
      <c r="C3" s="30"/>
      <c r="D3" s="30"/>
      <c r="E3" s="30"/>
      <c r="F3" s="30"/>
      <c r="G3" s="30"/>
      <c r="H3" s="30"/>
      <c r="I3" s="30"/>
    </row>
    <row r="4" spans="1:9" ht="15" customHeight="1" x14ac:dyDescent="0.2">
      <c r="A4" s="775" t="s">
        <v>483</v>
      </c>
      <c r="B4" s="775"/>
      <c r="C4" s="775"/>
      <c r="D4" s="775"/>
      <c r="E4" s="775"/>
      <c r="F4" s="775"/>
      <c r="G4" s="775"/>
      <c r="H4" s="775"/>
      <c r="I4" s="775"/>
    </row>
    <row r="5" spans="1:9" ht="15" customHeight="1" x14ac:dyDescent="0.2">
      <c r="A5" s="775" t="s">
        <v>484</v>
      </c>
      <c r="B5" s="775"/>
      <c r="C5" s="775"/>
      <c r="D5" s="775"/>
      <c r="E5" s="775"/>
      <c r="F5" s="775"/>
      <c r="G5" s="775"/>
      <c r="H5" s="775"/>
      <c r="I5" s="775"/>
    </row>
    <row r="6" spans="1:9" ht="15" customHeight="1" x14ac:dyDescent="0.2">
      <c r="A6" s="775" t="s">
        <v>485</v>
      </c>
      <c r="B6" s="775"/>
      <c r="C6" s="775"/>
      <c r="D6" s="775"/>
      <c r="E6" s="775"/>
      <c r="F6" s="775"/>
      <c r="G6" s="775"/>
      <c r="H6" s="775"/>
      <c r="I6" s="775"/>
    </row>
    <row r="7" spans="1:9" ht="15" customHeight="1" x14ac:dyDescent="0.2">
      <c r="A7" s="775"/>
      <c r="B7" s="775"/>
      <c r="C7" s="775"/>
      <c r="D7" s="775"/>
      <c r="E7" s="775"/>
      <c r="F7" s="775"/>
      <c r="G7" s="775"/>
      <c r="H7" s="775"/>
      <c r="I7" s="775"/>
    </row>
    <row r="8" spans="1:9" ht="27" customHeight="1" x14ac:dyDescent="0.2">
      <c r="A8" s="775" t="s">
        <v>486</v>
      </c>
      <c r="B8" s="775"/>
      <c r="C8" s="775"/>
      <c r="D8" s="775"/>
      <c r="E8" s="775"/>
      <c r="F8" s="775"/>
      <c r="G8" s="775"/>
      <c r="H8" s="775"/>
      <c r="I8" s="775"/>
    </row>
    <row r="9" spans="1:9" ht="15" customHeight="1" x14ac:dyDescent="0.2">
      <c r="A9" s="781" t="s">
        <v>487</v>
      </c>
      <c r="B9" s="781"/>
      <c r="C9" s="781"/>
      <c r="D9" s="781"/>
      <c r="E9" s="781"/>
      <c r="F9" s="781"/>
      <c r="G9" s="781"/>
      <c r="H9" s="781"/>
      <c r="I9" s="781"/>
    </row>
    <row r="10" spans="1:9" ht="15" customHeight="1" x14ac:dyDescent="0.2">
      <c r="A10" s="781"/>
      <c r="B10" s="781"/>
      <c r="C10" s="781"/>
      <c r="D10" s="781"/>
      <c r="E10" s="781"/>
      <c r="F10" s="781"/>
      <c r="G10" s="781"/>
      <c r="H10" s="781"/>
      <c r="I10" s="781"/>
    </row>
    <row r="11" spans="1:9" ht="30" customHeight="1" x14ac:dyDescent="0.2">
      <c r="A11" s="775" t="s">
        <v>488</v>
      </c>
      <c r="B11" s="775"/>
      <c r="C11" s="775"/>
      <c r="D11" s="775"/>
      <c r="E11" s="775"/>
      <c r="F11" s="775"/>
      <c r="G11" s="775"/>
      <c r="H11" s="775"/>
      <c r="I11" s="775"/>
    </row>
    <row r="12" spans="1:9" ht="30" customHeight="1" x14ac:dyDescent="0.2">
      <c r="A12" s="775" t="s">
        <v>489</v>
      </c>
      <c r="B12" s="775"/>
      <c r="C12" s="775"/>
      <c r="D12" s="775"/>
      <c r="E12" s="775"/>
      <c r="F12" s="775"/>
      <c r="G12" s="775"/>
      <c r="H12" s="775"/>
      <c r="I12" s="775"/>
    </row>
    <row r="13" spans="1:9" ht="30" customHeight="1" x14ac:dyDescent="0.2">
      <c r="A13" s="775" t="s">
        <v>490</v>
      </c>
      <c r="B13" s="775"/>
      <c r="C13" s="775"/>
      <c r="D13" s="775"/>
      <c r="E13" s="775"/>
      <c r="F13" s="775"/>
      <c r="G13" s="775"/>
      <c r="H13" s="775"/>
      <c r="I13" s="775"/>
    </row>
    <row r="14" spans="1:9" ht="30" customHeight="1" x14ac:dyDescent="0.2">
      <c r="A14" s="775" t="s">
        <v>491</v>
      </c>
      <c r="B14" s="775"/>
      <c r="C14" s="775"/>
      <c r="D14" s="775"/>
      <c r="E14" s="775"/>
      <c r="F14" s="775"/>
      <c r="G14" s="775"/>
      <c r="H14" s="775"/>
      <c r="I14" s="775"/>
    </row>
    <row r="15" spans="1:9" ht="30" customHeight="1" x14ac:dyDescent="0.2">
      <c r="A15" s="776" t="s">
        <v>492</v>
      </c>
      <c r="B15" s="776"/>
      <c r="C15" s="776"/>
      <c r="D15" s="776"/>
      <c r="E15" s="776"/>
      <c r="F15" s="776"/>
      <c r="G15" s="776"/>
      <c r="H15" s="776"/>
      <c r="I15" s="776"/>
    </row>
    <row r="16" spans="1:9" ht="12.75" customHeight="1" thickBot="1" x14ac:dyDescent="0.25">
      <c r="A16" s="776"/>
      <c r="B16" s="776"/>
      <c r="C16" s="776"/>
      <c r="D16" s="776"/>
      <c r="E16" s="776"/>
      <c r="F16" s="776"/>
      <c r="G16" s="776"/>
      <c r="H16" s="776"/>
      <c r="I16" s="776"/>
    </row>
    <row r="17" spans="1:9" ht="13.5" thickBot="1" x14ac:dyDescent="0.25">
      <c r="A17" s="782" t="s">
        <v>493</v>
      </c>
      <c r="B17" s="783"/>
      <c r="C17" s="783"/>
      <c r="D17" s="783"/>
      <c r="E17" s="783"/>
      <c r="F17" s="783"/>
      <c r="G17" s="783"/>
      <c r="H17" s="783"/>
      <c r="I17" s="784"/>
    </row>
    <row r="19" spans="1:9" x14ac:dyDescent="0.2">
      <c r="A19" s="470" t="s">
        <v>83</v>
      </c>
      <c r="B19" s="470"/>
      <c r="C19" s="470"/>
      <c r="D19" s="470"/>
      <c r="E19" s="470"/>
      <c r="F19" s="470"/>
      <c r="G19" s="470"/>
      <c r="H19" s="470"/>
      <c r="I19" s="470"/>
    </row>
    <row r="20" spans="1:9" x14ac:dyDescent="0.2">
      <c r="A20" s="38" t="s">
        <v>84</v>
      </c>
      <c r="B20" s="472" t="s">
        <v>85</v>
      </c>
      <c r="C20" s="473"/>
      <c r="D20" s="473"/>
      <c r="E20" s="473"/>
      <c r="F20" s="473"/>
      <c r="G20" s="473"/>
      <c r="H20" s="474"/>
      <c r="I20" s="8" t="s">
        <v>70</v>
      </c>
    </row>
    <row r="21" spans="1:9" ht="24.75" customHeight="1" x14ac:dyDescent="0.2">
      <c r="A21" s="38" t="s">
        <v>37</v>
      </c>
      <c r="B21" s="777" t="s">
        <v>494</v>
      </c>
      <c r="C21" s="502"/>
      <c r="D21" s="502"/>
      <c r="E21" s="502"/>
      <c r="F21" s="502"/>
      <c r="G21" s="502"/>
      <c r="H21" s="503"/>
      <c r="I21" s="149">
        <f>1/12</f>
        <v>8.3333333333333329E-2</v>
      </c>
    </row>
    <row r="22" spans="1:9" ht="24.75" customHeight="1" x14ac:dyDescent="0.2">
      <c r="A22" s="8" t="s">
        <v>39</v>
      </c>
      <c r="B22" s="777" t="s">
        <v>495</v>
      </c>
      <c r="C22" s="778"/>
      <c r="D22" s="778"/>
      <c r="E22" s="778"/>
      <c r="F22" s="778"/>
      <c r="G22" s="778"/>
      <c r="H22" s="779"/>
      <c r="I22" s="22">
        <v>0.121</v>
      </c>
    </row>
    <row r="23" spans="1:9" x14ac:dyDescent="0.2">
      <c r="A23" s="457" t="s">
        <v>88</v>
      </c>
      <c r="B23" s="457"/>
      <c r="C23" s="457"/>
      <c r="D23" s="457"/>
      <c r="E23" s="457"/>
      <c r="F23" s="457"/>
      <c r="G23" s="457"/>
      <c r="H23" s="33"/>
      <c r="I23" s="33">
        <f>TRUNC(SUM(I21:I22),4)</f>
        <v>0.20430000000000001</v>
      </c>
    </row>
    <row r="24" spans="1:9" ht="37.5" customHeight="1" x14ac:dyDescent="0.2">
      <c r="A24" s="38" t="s">
        <v>41</v>
      </c>
      <c r="B24" s="777" t="s">
        <v>496</v>
      </c>
      <c r="C24" s="778"/>
      <c r="D24" s="778"/>
      <c r="E24" s="778"/>
      <c r="F24" s="778"/>
      <c r="G24" s="778"/>
      <c r="H24" s="779"/>
      <c r="I24" s="149">
        <v>7.8200000000000006E-2</v>
      </c>
    </row>
    <row r="25" spans="1:9" x14ac:dyDescent="0.2">
      <c r="A25" s="457" t="s">
        <v>90</v>
      </c>
      <c r="B25" s="457"/>
      <c r="C25" s="457"/>
      <c r="D25" s="457"/>
      <c r="E25" s="457"/>
      <c r="F25" s="457"/>
      <c r="G25" s="457"/>
      <c r="H25" s="33"/>
      <c r="I25" s="33">
        <f>TRUNC(SUM(I23:I24),4)</f>
        <v>0.28249999999999997</v>
      </c>
    </row>
    <row r="26" spans="1:9" x14ac:dyDescent="0.2">
      <c r="A26" s="153" t="s">
        <v>497</v>
      </c>
      <c r="B26" s="8"/>
      <c r="C26" s="8"/>
      <c r="D26" s="8"/>
      <c r="E26" s="8"/>
      <c r="F26" s="8"/>
      <c r="G26" s="8"/>
      <c r="H26" s="152"/>
      <c r="I26" s="152"/>
    </row>
    <row r="27" spans="1:9" s="9" customFormat="1" x14ac:dyDescent="0.2">
      <c r="A27" s="29"/>
    </row>
    <row r="28" spans="1:9" s="9" customFormat="1" x14ac:dyDescent="0.2">
      <c r="A28" s="29"/>
    </row>
    <row r="29" spans="1:9" x14ac:dyDescent="0.2">
      <c r="A29" s="3"/>
      <c r="B29" s="3"/>
      <c r="C29" s="3"/>
      <c r="D29" s="3"/>
      <c r="E29" s="3"/>
      <c r="F29" s="3"/>
      <c r="G29" s="3"/>
      <c r="H29" s="3"/>
      <c r="I29" s="4"/>
    </row>
    <row r="30" spans="1:9" s="9" customFormat="1" x14ac:dyDescent="0.2">
      <c r="A30" s="470" t="s">
        <v>133</v>
      </c>
      <c r="B30" s="470"/>
      <c r="C30" s="470"/>
      <c r="D30" s="470"/>
      <c r="E30" s="470"/>
      <c r="F30" s="470"/>
      <c r="G30" s="470"/>
      <c r="H30" s="470"/>
      <c r="I30" s="470"/>
    </row>
    <row r="31" spans="1:9" x14ac:dyDescent="0.2">
      <c r="A31" s="8">
        <v>3</v>
      </c>
      <c r="B31" s="465" t="s">
        <v>134</v>
      </c>
      <c r="C31" s="465"/>
      <c r="D31" s="465"/>
      <c r="E31" s="465"/>
      <c r="F31" s="465"/>
      <c r="G31" s="465"/>
      <c r="H31" s="8" t="s">
        <v>70</v>
      </c>
      <c r="I31" s="8" t="s">
        <v>71</v>
      </c>
    </row>
    <row r="32" spans="1:9" x14ac:dyDescent="0.2">
      <c r="A32" s="8" t="s">
        <v>37</v>
      </c>
      <c r="B32" s="454" t="s">
        <v>135</v>
      </c>
      <c r="C32" s="454"/>
      <c r="D32" s="454"/>
      <c r="E32" s="454"/>
      <c r="F32" s="454"/>
      <c r="G32" s="454"/>
      <c r="H32" s="1">
        <v>4.1999999999999997E-3</v>
      </c>
      <c r="I32" s="23"/>
    </row>
    <row r="33" spans="1:11" x14ac:dyDescent="0.2">
      <c r="A33" s="38" t="s">
        <v>39</v>
      </c>
      <c r="B33" s="479" t="s">
        <v>136</v>
      </c>
      <c r="C33" s="479"/>
      <c r="D33" s="479"/>
      <c r="E33" s="479"/>
      <c r="F33" s="479"/>
      <c r="G33" s="479"/>
      <c r="H33" s="149">
        <v>0.08</v>
      </c>
      <c r="I33" s="150"/>
    </row>
    <row r="34" spans="1:11" ht="39" customHeight="1" x14ac:dyDescent="0.2">
      <c r="A34" s="38" t="s">
        <v>41</v>
      </c>
      <c r="B34" s="479" t="s">
        <v>498</v>
      </c>
      <c r="C34" s="479"/>
      <c r="D34" s="479"/>
      <c r="E34" s="479"/>
      <c r="F34" s="479"/>
      <c r="G34" s="479"/>
      <c r="H34" s="149">
        <v>2E-3</v>
      </c>
      <c r="I34" s="150"/>
      <c r="K34" s="76"/>
    </row>
    <row r="35" spans="1:11" x14ac:dyDescent="0.2">
      <c r="A35" s="8" t="s">
        <v>44</v>
      </c>
      <c r="B35" s="454" t="s">
        <v>138</v>
      </c>
      <c r="C35" s="454"/>
      <c r="D35" s="454"/>
      <c r="E35" s="454"/>
      <c r="F35" s="454"/>
      <c r="G35" s="454"/>
      <c r="H35" s="1">
        <v>1.9400000000000001E-2</v>
      </c>
      <c r="I35" s="23"/>
    </row>
    <row r="36" spans="1:11" x14ac:dyDescent="0.2">
      <c r="A36" s="8" t="s">
        <v>76</v>
      </c>
      <c r="B36" s="491" t="s">
        <v>139</v>
      </c>
      <c r="C36" s="491"/>
      <c r="D36" s="491"/>
      <c r="E36" s="491"/>
      <c r="F36" s="491"/>
      <c r="G36" s="491"/>
      <c r="H36" s="22">
        <v>0.36799999999999999</v>
      </c>
      <c r="I36" s="23"/>
    </row>
    <row r="37" spans="1:11" ht="37.5" customHeight="1" x14ac:dyDescent="0.2">
      <c r="A37" s="38" t="s">
        <v>78</v>
      </c>
      <c r="B37" s="479" t="s">
        <v>499</v>
      </c>
      <c r="C37" s="479"/>
      <c r="D37" s="479"/>
      <c r="E37" s="479"/>
      <c r="F37" s="479"/>
      <c r="G37" s="479"/>
      <c r="H37" s="149">
        <v>3.7999999999999999E-2</v>
      </c>
      <c r="I37" s="150"/>
    </row>
    <row r="38" spans="1:11" x14ac:dyDescent="0.2">
      <c r="A38" s="487" t="s">
        <v>141</v>
      </c>
      <c r="B38" s="487"/>
      <c r="C38" s="487"/>
      <c r="D38" s="487"/>
      <c r="E38" s="487"/>
      <c r="F38" s="487"/>
      <c r="G38" s="487"/>
      <c r="H38" s="33"/>
      <c r="I38" s="117"/>
    </row>
    <row r="39" spans="1:11" x14ac:dyDescent="0.2">
      <c r="A39" s="3"/>
      <c r="B39" s="3"/>
      <c r="C39" s="3"/>
      <c r="D39" s="3"/>
      <c r="E39" s="3"/>
      <c r="F39" s="3"/>
      <c r="G39" s="3"/>
      <c r="H39" s="35"/>
      <c r="I39" s="4"/>
    </row>
    <row r="40" spans="1:11" x14ac:dyDescent="0.2">
      <c r="A40" s="741" t="s">
        <v>500</v>
      </c>
      <c r="B40" s="9" t="s">
        <v>501</v>
      </c>
      <c r="C40" s="3"/>
      <c r="D40" s="3"/>
      <c r="E40" s="3"/>
      <c r="F40" s="3"/>
      <c r="G40" s="3"/>
      <c r="H40" s="35"/>
      <c r="I40" s="4"/>
    </row>
    <row r="41" spans="1:11" x14ac:dyDescent="0.2">
      <c r="A41" s="741"/>
      <c r="B41" s="154" t="s">
        <v>502</v>
      </c>
      <c r="C41" s="3"/>
      <c r="D41" s="3"/>
      <c r="E41" s="3"/>
      <c r="F41" s="3"/>
      <c r="G41" s="3"/>
      <c r="H41" s="35"/>
      <c r="I41" s="4"/>
    </row>
    <row r="42" spans="1:11" x14ac:dyDescent="0.2">
      <c r="A42" s="741"/>
      <c r="B42" t="s">
        <v>503</v>
      </c>
      <c r="C42" s="3"/>
      <c r="D42" s="3"/>
      <c r="E42" s="3"/>
      <c r="F42" s="3"/>
      <c r="G42" s="3"/>
      <c r="H42" s="35"/>
      <c r="I42" s="4"/>
    </row>
    <row r="43" spans="1:11" x14ac:dyDescent="0.2">
      <c r="A43" s="741"/>
      <c r="B43" s="154" t="s">
        <v>504</v>
      </c>
      <c r="C43" s="3"/>
      <c r="D43" s="3"/>
      <c r="E43" s="3"/>
      <c r="F43" s="3"/>
      <c r="G43" s="3"/>
      <c r="H43" s="35"/>
      <c r="I43" s="4"/>
    </row>
    <row r="44" spans="1:11" x14ac:dyDescent="0.2">
      <c r="A44" s="741"/>
      <c r="B44" s="154" t="s">
        <v>505</v>
      </c>
      <c r="C44" s="3"/>
      <c r="D44" s="3"/>
      <c r="E44" s="3"/>
      <c r="F44" s="3"/>
      <c r="G44" s="3"/>
      <c r="H44" s="35"/>
      <c r="I44" s="4"/>
    </row>
    <row r="45" spans="1:11" x14ac:dyDescent="0.2">
      <c r="A45" s="741"/>
      <c r="B45" s="154" t="s">
        <v>506</v>
      </c>
      <c r="C45" s="3"/>
      <c r="D45" s="3"/>
      <c r="E45" s="3"/>
      <c r="F45" s="3"/>
      <c r="G45" s="3"/>
      <c r="H45" s="35"/>
      <c r="I45" s="4"/>
    </row>
    <row r="46" spans="1:11" x14ac:dyDescent="0.2">
      <c r="A46" s="741"/>
      <c r="B46" s="155" t="s">
        <v>507</v>
      </c>
      <c r="C46" s="3"/>
      <c r="D46" s="3"/>
      <c r="E46" s="3"/>
      <c r="F46" s="3"/>
      <c r="G46" s="3"/>
      <c r="H46" s="35"/>
      <c r="I46" s="4"/>
    </row>
    <row r="47" spans="1:11" x14ac:dyDescent="0.2">
      <c r="A47" s="3"/>
      <c r="C47" s="3"/>
      <c r="D47" s="3"/>
      <c r="E47" s="3"/>
      <c r="F47" s="3"/>
      <c r="G47" s="3"/>
      <c r="H47" s="35"/>
      <c r="I47" s="4"/>
    </row>
    <row r="48" spans="1:11" x14ac:dyDescent="0.2">
      <c r="A48" s="741" t="s">
        <v>508</v>
      </c>
      <c r="B48" s="154" t="s">
        <v>509</v>
      </c>
      <c r="C48" s="3"/>
      <c r="D48" s="3"/>
      <c r="E48" s="3"/>
      <c r="F48" s="3"/>
      <c r="G48" s="3"/>
      <c r="H48" s="35"/>
      <c r="I48" s="4"/>
    </row>
    <row r="49" spans="1:10" x14ac:dyDescent="0.2">
      <c r="A49" s="741"/>
      <c r="B49" s="154" t="s">
        <v>510</v>
      </c>
      <c r="C49" s="3"/>
      <c r="D49" s="3"/>
      <c r="E49" s="3"/>
      <c r="F49" s="3"/>
      <c r="G49" s="3"/>
      <c r="H49" s="35"/>
      <c r="I49" s="4"/>
    </row>
    <row r="50" spans="1:10" x14ac:dyDescent="0.2">
      <c r="A50" s="3"/>
      <c r="B50" s="155"/>
      <c r="C50" s="3"/>
      <c r="D50" s="3"/>
      <c r="E50" s="3"/>
      <c r="F50" s="3"/>
      <c r="G50" s="3"/>
      <c r="H50" s="35"/>
      <c r="I50" s="4"/>
    </row>
    <row r="51" spans="1:10" ht="27" customHeight="1" x14ac:dyDescent="0.2">
      <c r="A51" s="741" t="s">
        <v>511</v>
      </c>
      <c r="B51" s="780" t="s">
        <v>512</v>
      </c>
      <c r="C51" s="780"/>
      <c r="D51" s="780"/>
      <c r="E51" s="780"/>
      <c r="F51" s="780"/>
      <c r="G51" s="780"/>
      <c r="H51" s="780"/>
      <c r="I51" s="780"/>
    </row>
    <row r="52" spans="1:10" x14ac:dyDescent="0.2">
      <c r="A52" s="741"/>
      <c r="B52" s="154" t="s">
        <v>513</v>
      </c>
      <c r="C52" s="3"/>
      <c r="D52" s="3"/>
      <c r="E52" s="3"/>
      <c r="F52" s="3"/>
      <c r="G52" s="3"/>
      <c r="H52" s="35"/>
      <c r="I52" s="4"/>
    </row>
    <row r="53" spans="1:10" x14ac:dyDescent="0.2">
      <c r="A53" s="3"/>
      <c r="B53" s="155"/>
      <c r="C53" s="3"/>
      <c r="D53" s="3"/>
      <c r="E53" s="3"/>
      <c r="F53" s="3"/>
      <c r="G53" s="3"/>
      <c r="H53" s="35"/>
      <c r="I53" s="4"/>
    </row>
    <row r="54" spans="1:10" x14ac:dyDescent="0.2">
      <c r="A54" s="3" t="s">
        <v>514</v>
      </c>
      <c r="B54" s="75" t="s">
        <v>383</v>
      </c>
      <c r="C54" s="3"/>
      <c r="D54" s="3"/>
      <c r="E54" s="3"/>
      <c r="F54" s="3"/>
      <c r="G54" s="3"/>
      <c r="H54" s="35"/>
      <c r="I54" s="4"/>
    </row>
    <row r="56" spans="1:10" ht="12.75" customHeight="1" x14ac:dyDescent="0.2">
      <c r="A56" s="579" t="s">
        <v>384</v>
      </c>
      <c r="B56" s="579"/>
      <c r="C56" s="579"/>
      <c r="D56" s="579"/>
      <c r="E56" s="579"/>
      <c r="F56" s="579"/>
      <c r="G56" s="579"/>
      <c r="H56" s="579"/>
      <c r="I56" s="579"/>
      <c r="J56" s="579"/>
    </row>
    <row r="57" spans="1:10" x14ac:dyDescent="0.2">
      <c r="A57" s="579"/>
      <c r="B57" s="579"/>
      <c r="C57" s="579"/>
      <c r="D57" s="579"/>
      <c r="E57" s="579"/>
      <c r="F57" s="579"/>
      <c r="G57" s="579"/>
      <c r="H57" s="579"/>
      <c r="I57" s="579"/>
      <c r="J57" s="579"/>
    </row>
    <row r="58" spans="1:10" x14ac:dyDescent="0.2">
      <c r="A58" s="579"/>
      <c r="B58" s="579"/>
      <c r="C58" s="579"/>
      <c r="D58" s="579"/>
      <c r="E58" s="579"/>
      <c r="F58" s="579"/>
      <c r="G58" s="579"/>
      <c r="H58" s="579"/>
      <c r="I58" s="579"/>
      <c r="J58" s="579"/>
    </row>
    <row r="59" spans="1:10" x14ac:dyDescent="0.2">
      <c r="A59" s="579"/>
      <c r="B59" s="579"/>
      <c r="C59" s="579"/>
      <c r="D59" s="579"/>
      <c r="E59" s="579"/>
      <c r="F59" s="579"/>
      <c r="G59" s="579"/>
      <c r="H59" s="579"/>
      <c r="I59" s="579"/>
      <c r="J59" s="579"/>
    </row>
    <row r="60" spans="1:10" x14ac:dyDescent="0.2">
      <c r="A60" s="579"/>
      <c r="B60" s="579"/>
      <c r="C60" s="579"/>
      <c r="D60" s="579"/>
      <c r="E60" s="579"/>
      <c r="F60" s="579"/>
      <c r="G60" s="579"/>
      <c r="H60" s="579"/>
      <c r="I60" s="579"/>
      <c r="J60" s="579"/>
    </row>
    <row r="61" spans="1:10" x14ac:dyDescent="0.2">
      <c r="A61" s="151"/>
      <c r="B61" s="151"/>
      <c r="C61" s="151"/>
      <c r="D61" s="151"/>
      <c r="E61" s="151"/>
      <c r="F61" s="151"/>
      <c r="G61" s="151"/>
      <c r="H61" s="151"/>
      <c r="I61" s="151"/>
      <c r="J61" s="151"/>
    </row>
    <row r="62" spans="1:10" x14ac:dyDescent="0.2">
      <c r="A62" s="741" t="s">
        <v>515</v>
      </c>
      <c r="B62" s="154" t="s">
        <v>516</v>
      </c>
      <c r="C62" s="3"/>
      <c r="D62" s="3"/>
      <c r="E62" s="3"/>
      <c r="F62" s="3"/>
      <c r="G62" s="151"/>
      <c r="H62" s="151"/>
      <c r="I62" s="151"/>
      <c r="J62" s="151"/>
    </row>
    <row r="63" spans="1:10" x14ac:dyDescent="0.2">
      <c r="A63" s="741"/>
      <c r="B63" s="154" t="s">
        <v>517</v>
      </c>
      <c r="C63" s="3"/>
      <c r="D63" s="3"/>
      <c r="E63" s="3"/>
      <c r="F63" s="3"/>
      <c r="G63" s="151"/>
      <c r="H63" s="151"/>
      <c r="I63" s="151"/>
      <c r="J63" s="151"/>
    </row>
    <row r="64" spans="1:10" x14ac:dyDescent="0.2">
      <c r="A64" s="151"/>
      <c r="B64" s="151"/>
      <c r="C64" s="151"/>
      <c r="D64" s="151"/>
      <c r="E64" s="151"/>
      <c r="F64" s="151"/>
      <c r="G64" s="151"/>
      <c r="H64" s="151"/>
      <c r="I64" s="151"/>
      <c r="J64" s="151"/>
    </row>
    <row r="65" spans="1:10" x14ac:dyDescent="0.2">
      <c r="A65" s="741" t="s">
        <v>518</v>
      </c>
      <c r="B65" s="780" t="s">
        <v>512</v>
      </c>
      <c r="C65" s="780"/>
      <c r="D65" s="780"/>
      <c r="E65" s="780"/>
      <c r="F65" s="780"/>
      <c r="G65" s="780"/>
      <c r="H65" s="780"/>
      <c r="I65" s="780"/>
      <c r="J65" s="151"/>
    </row>
    <row r="66" spans="1:10" x14ac:dyDescent="0.2">
      <c r="A66" s="741"/>
      <c r="B66" s="154" t="s">
        <v>519</v>
      </c>
      <c r="C66" s="3"/>
      <c r="D66" s="3"/>
      <c r="E66" s="3"/>
      <c r="F66" s="3"/>
      <c r="G66" s="3"/>
      <c r="H66" s="35"/>
      <c r="I66" s="4"/>
      <c r="J66" s="151"/>
    </row>
    <row r="67" spans="1:10" x14ac:dyDescent="0.2">
      <c r="A67" s="151"/>
      <c r="B67" s="151"/>
      <c r="C67" s="151"/>
      <c r="D67" s="151"/>
      <c r="E67" s="151"/>
      <c r="F67" s="151"/>
      <c r="G67" s="151"/>
      <c r="H67" s="151"/>
      <c r="I67" s="151"/>
      <c r="J67" s="151"/>
    </row>
    <row r="68" spans="1:10" x14ac:dyDescent="0.2">
      <c r="A68" s="151"/>
      <c r="B68" s="151"/>
      <c r="C68" s="151"/>
      <c r="D68" s="151"/>
      <c r="E68" s="151"/>
      <c r="F68" s="151"/>
      <c r="G68" s="151"/>
      <c r="H68" s="151"/>
      <c r="I68" s="151"/>
      <c r="J68" s="151"/>
    </row>
    <row r="69" spans="1:10" x14ac:dyDescent="0.2">
      <c r="A69" s="40" t="s">
        <v>145</v>
      </c>
      <c r="B69" s="457" t="s">
        <v>146</v>
      </c>
      <c r="C69" s="457"/>
      <c r="D69" s="457"/>
      <c r="E69" s="457"/>
      <c r="F69" s="457"/>
      <c r="G69" s="457"/>
      <c r="H69" s="26" t="s">
        <v>70</v>
      </c>
      <c r="I69" s="26" t="s">
        <v>71</v>
      </c>
      <c r="J69" s="151"/>
    </row>
    <row r="70" spans="1:10" x14ac:dyDescent="0.2">
      <c r="A70" s="40" t="s">
        <v>37</v>
      </c>
      <c r="B70" s="454" t="s">
        <v>147</v>
      </c>
      <c r="C70" s="454"/>
      <c r="D70" s="454"/>
      <c r="E70" s="454"/>
      <c r="F70" s="454"/>
      <c r="G70" s="454"/>
      <c r="H70" s="34"/>
      <c r="I70" s="34"/>
      <c r="J70" s="151"/>
    </row>
    <row r="71" spans="1:10" ht="24" customHeight="1" x14ac:dyDescent="0.2">
      <c r="A71" s="45" t="s">
        <v>39</v>
      </c>
      <c r="B71" s="790" t="s">
        <v>520</v>
      </c>
      <c r="C71" s="790"/>
      <c r="D71" s="790"/>
      <c r="E71" s="790"/>
      <c r="F71" s="790"/>
      <c r="G71" s="790"/>
      <c r="H71" s="156">
        <v>1.67E-2</v>
      </c>
      <c r="I71" s="150">
        <f>H71*$I$45</f>
        <v>0</v>
      </c>
      <c r="J71" s="151"/>
    </row>
    <row r="72" spans="1:10" ht="36" customHeight="1" x14ac:dyDescent="0.2">
      <c r="A72" s="45" t="s">
        <v>41</v>
      </c>
      <c r="B72" s="789" t="s">
        <v>521</v>
      </c>
      <c r="C72" s="789"/>
      <c r="D72" s="789"/>
      <c r="E72" s="789"/>
      <c r="F72" s="789"/>
      <c r="G72" s="789"/>
      <c r="H72" s="156">
        <v>2.0000000000000001E-4</v>
      </c>
      <c r="I72" s="150">
        <f>H72*$I$45</f>
        <v>0</v>
      </c>
      <c r="J72" s="151"/>
    </row>
    <row r="73" spans="1:10" ht="42.75" customHeight="1" x14ac:dyDescent="0.2">
      <c r="A73" s="45" t="s">
        <v>44</v>
      </c>
      <c r="B73" s="789" t="s">
        <v>522</v>
      </c>
      <c r="C73" s="789"/>
      <c r="D73" s="789"/>
      <c r="E73" s="789"/>
      <c r="F73" s="789"/>
      <c r="G73" s="789"/>
      <c r="H73" s="149">
        <v>6.9999999999999999E-4</v>
      </c>
      <c r="I73" s="150">
        <f>H73*$I$45</f>
        <v>0</v>
      </c>
      <c r="J73" s="151"/>
    </row>
    <row r="74" spans="1:10" ht="35.25" customHeight="1" x14ac:dyDescent="0.2">
      <c r="A74" s="38" t="s">
        <v>76</v>
      </c>
      <c r="B74" s="789" t="s">
        <v>523</v>
      </c>
      <c r="C74" s="789"/>
      <c r="D74" s="789"/>
      <c r="E74" s="789"/>
      <c r="F74" s="789"/>
      <c r="G74" s="789"/>
      <c r="H74" s="156">
        <v>2.8999999999999998E-3</v>
      </c>
      <c r="I74" s="150">
        <f>H74*$I$45</f>
        <v>0</v>
      </c>
      <c r="J74" s="151"/>
    </row>
    <row r="75" spans="1:10" x14ac:dyDescent="0.2">
      <c r="A75" s="8" t="s">
        <v>78</v>
      </c>
      <c r="B75" s="454" t="s">
        <v>152</v>
      </c>
      <c r="C75" s="454"/>
      <c r="D75" s="454"/>
      <c r="E75" s="454"/>
      <c r="F75" s="454"/>
      <c r="G75" s="454"/>
      <c r="H75" s="157"/>
      <c r="I75" s="23">
        <f t="shared" ref="I75" si="0">H75*$I$45</f>
        <v>0</v>
      </c>
      <c r="J75" s="151"/>
    </row>
    <row r="76" spans="1:10" x14ac:dyDescent="0.2">
      <c r="A76" s="457" t="s">
        <v>153</v>
      </c>
      <c r="B76" s="457"/>
      <c r="C76" s="457"/>
      <c r="D76" s="457"/>
      <c r="E76" s="457"/>
      <c r="F76" s="457"/>
      <c r="G76" s="457"/>
      <c r="H76" s="33"/>
      <c r="I76" s="34">
        <f>SUM(I71:I75)</f>
        <v>0</v>
      </c>
      <c r="J76" s="151"/>
    </row>
    <row r="77" spans="1:10" x14ac:dyDescent="0.2">
      <c r="A77" s="8" t="s">
        <v>104</v>
      </c>
      <c r="B77" s="454" t="s">
        <v>154</v>
      </c>
      <c r="C77" s="454"/>
      <c r="D77" s="454"/>
      <c r="E77" s="454"/>
      <c r="F77" s="454"/>
      <c r="G77" s="454"/>
      <c r="H77" s="1">
        <v>0.36799999999999999</v>
      </c>
      <c r="I77" s="23">
        <f>I76*H77</f>
        <v>0</v>
      </c>
      <c r="J77" s="151"/>
    </row>
    <row r="78" spans="1:10" x14ac:dyDescent="0.2">
      <c r="A78" s="457" t="s">
        <v>155</v>
      </c>
      <c r="B78" s="457"/>
      <c r="C78" s="457"/>
      <c r="D78" s="457"/>
      <c r="E78" s="457"/>
      <c r="F78" s="457"/>
      <c r="G78" s="457"/>
      <c r="H78" s="33"/>
      <c r="I78" s="34">
        <f>SUM(I76:I77)</f>
        <v>0</v>
      </c>
    </row>
    <row r="79" spans="1:10" x14ac:dyDescent="0.2">
      <c r="A79" s="8"/>
      <c r="B79" s="486"/>
      <c r="C79" s="486"/>
      <c r="D79" s="486"/>
      <c r="E79" s="486"/>
      <c r="F79" s="486"/>
      <c r="G79" s="486"/>
      <c r="H79" s="486"/>
      <c r="I79" s="23"/>
    </row>
    <row r="80" spans="1:10" x14ac:dyDescent="0.2">
      <c r="A80" s="3"/>
      <c r="B80" s="29"/>
      <c r="C80" s="29"/>
      <c r="D80" s="29"/>
      <c r="E80" s="29"/>
      <c r="F80" s="29"/>
      <c r="G80" s="29"/>
      <c r="H80" s="29"/>
      <c r="I80" s="7"/>
    </row>
    <row r="81" spans="1:9" x14ac:dyDescent="0.2">
      <c r="A81" s="785" t="s">
        <v>524</v>
      </c>
      <c r="B81" s="785"/>
      <c r="C81" s="785"/>
      <c r="D81" s="785"/>
      <c r="E81" s="785"/>
      <c r="F81" s="785"/>
      <c r="G81" s="785"/>
      <c r="H81" s="785"/>
      <c r="I81" s="785"/>
    </row>
    <row r="82" spans="1:9" x14ac:dyDescent="0.2">
      <c r="A82" s="785"/>
      <c r="B82" s="785"/>
      <c r="C82" s="785"/>
      <c r="D82" s="785"/>
      <c r="E82" s="785"/>
      <c r="F82" s="785"/>
      <c r="G82" s="785"/>
      <c r="H82" s="785"/>
      <c r="I82" s="785"/>
    </row>
    <row r="83" spans="1:9" x14ac:dyDescent="0.2">
      <c r="A83" s="785"/>
      <c r="B83" s="785"/>
      <c r="C83" s="785"/>
      <c r="D83" s="785"/>
      <c r="E83" s="785"/>
      <c r="F83" s="785"/>
      <c r="G83" s="785"/>
      <c r="H83" s="785"/>
      <c r="I83" s="785"/>
    </row>
    <row r="84" spans="1:9" x14ac:dyDescent="0.2">
      <c r="A84" s="785"/>
      <c r="B84" s="785"/>
      <c r="C84" s="785"/>
      <c r="D84" s="785"/>
      <c r="E84" s="785"/>
      <c r="F84" s="785"/>
      <c r="G84" s="785"/>
      <c r="H84" s="785"/>
      <c r="I84" s="785"/>
    </row>
    <row r="85" spans="1:9" x14ac:dyDescent="0.2">
      <c r="A85" s="785"/>
      <c r="B85" s="785"/>
      <c r="C85" s="785"/>
      <c r="D85" s="785"/>
      <c r="E85" s="785"/>
      <c r="F85" s="785"/>
      <c r="G85" s="785"/>
      <c r="H85" s="785"/>
      <c r="I85" s="785"/>
    </row>
    <row r="86" spans="1:9" x14ac:dyDescent="0.2">
      <c r="A86" s="213"/>
      <c r="B86" s="213"/>
      <c r="C86" s="213"/>
      <c r="D86" s="213"/>
      <c r="E86" s="213"/>
      <c r="F86" s="213"/>
      <c r="G86" s="213"/>
      <c r="H86" s="213"/>
      <c r="I86" s="213"/>
    </row>
    <row r="87" spans="1:9" ht="16.5" thickBot="1" x14ac:dyDescent="0.25">
      <c r="A87" s="212"/>
      <c r="D87" s="213"/>
      <c r="E87" s="213"/>
      <c r="F87" s="213"/>
      <c r="G87" s="213"/>
      <c r="H87" s="213"/>
      <c r="I87" s="213"/>
    </row>
    <row r="88" spans="1:9" ht="26.25" thickBot="1" x14ac:dyDescent="0.25">
      <c r="A88" s="163" t="s">
        <v>273</v>
      </c>
      <c r="B88" s="164" t="s">
        <v>525</v>
      </c>
      <c r="C88" s="164" t="s">
        <v>526</v>
      </c>
      <c r="D88" s="213"/>
      <c r="E88" s="213"/>
      <c r="F88" s="213"/>
      <c r="G88" s="213"/>
      <c r="H88" s="213"/>
      <c r="I88" s="213"/>
    </row>
    <row r="89" spans="1:9" ht="13.5" thickBot="1" x14ac:dyDescent="0.25">
      <c r="A89" s="165" t="s">
        <v>419</v>
      </c>
      <c r="B89" s="166">
        <v>8.3299999999999999E-2</v>
      </c>
      <c r="C89" s="166">
        <v>6.9410000000000001E-3</v>
      </c>
      <c r="D89" s="213"/>
      <c r="E89" s="213"/>
      <c r="F89" s="213"/>
      <c r="G89" s="213"/>
      <c r="H89" s="213"/>
      <c r="I89" s="213"/>
    </row>
    <row r="90" spans="1:9" ht="39" thickBot="1" x14ac:dyDescent="0.25">
      <c r="A90" s="165" t="s">
        <v>527</v>
      </c>
      <c r="B90" s="166">
        <v>2.7799999999999998E-2</v>
      </c>
      <c r="C90" s="166">
        <v>2.3159999999999999E-3</v>
      </c>
      <c r="D90" s="213"/>
      <c r="E90" s="213"/>
      <c r="F90" s="213"/>
      <c r="G90" s="213"/>
      <c r="H90" s="213"/>
      <c r="I90" s="213"/>
    </row>
    <row r="91" spans="1:9" ht="26.25" thickBot="1" x14ac:dyDescent="0.25">
      <c r="A91" s="167" t="s">
        <v>528</v>
      </c>
      <c r="B91" s="168">
        <v>0.1111</v>
      </c>
      <c r="C91" s="168">
        <v>9.2569999999999996E-3</v>
      </c>
      <c r="D91" s="213"/>
      <c r="E91" s="213"/>
      <c r="F91" s="213"/>
      <c r="G91" s="213"/>
      <c r="H91" s="213"/>
      <c r="I91" s="213"/>
    </row>
    <row r="92" spans="1:9" ht="84.75" customHeight="1" thickBot="1" x14ac:dyDescent="0.25">
      <c r="A92" s="167" t="s">
        <v>5</v>
      </c>
      <c r="B92" s="786">
        <v>0.12039999999999999</v>
      </c>
      <c r="C92" s="787"/>
      <c r="D92" s="213"/>
      <c r="E92" s="213"/>
      <c r="F92" s="213"/>
      <c r="G92" s="213"/>
      <c r="H92" s="213"/>
      <c r="I92" s="213"/>
    </row>
    <row r="93" spans="1:9" ht="69" customHeight="1" x14ac:dyDescent="0.2">
      <c r="A93" s="162"/>
      <c r="D93" s="213"/>
      <c r="E93" s="213"/>
      <c r="F93" s="213"/>
      <c r="G93" s="213"/>
      <c r="H93" s="213"/>
      <c r="I93" s="213"/>
    </row>
    <row r="94" spans="1:9" ht="15" x14ac:dyDescent="0.2">
      <c r="A94" s="788" t="s">
        <v>529</v>
      </c>
      <c r="B94" s="788"/>
      <c r="C94" s="788"/>
      <c r="D94" s="788"/>
      <c r="E94" s="788"/>
      <c r="F94" s="788"/>
      <c r="G94" s="788"/>
      <c r="H94" s="788"/>
      <c r="I94" s="788"/>
    </row>
    <row r="95" spans="1:9" ht="15" x14ac:dyDescent="0.2">
      <c r="A95" s="788" t="s">
        <v>530</v>
      </c>
      <c r="B95" s="788"/>
      <c r="C95" s="788"/>
      <c r="D95" s="788"/>
      <c r="E95" s="788"/>
      <c r="F95" s="788"/>
      <c r="G95" s="788"/>
      <c r="H95" s="788"/>
      <c r="I95" s="788"/>
    </row>
    <row r="96" spans="1:9" x14ac:dyDescent="0.2">
      <c r="A96" s="3"/>
      <c r="B96" s="29"/>
      <c r="C96" s="29"/>
      <c r="D96" s="29"/>
      <c r="E96" s="29"/>
      <c r="F96" s="29"/>
      <c r="G96" s="29"/>
      <c r="H96" s="29"/>
      <c r="I96" s="7"/>
    </row>
    <row r="97" spans="1:9" x14ac:dyDescent="0.2">
      <c r="A97" s="3"/>
      <c r="B97" s="29"/>
      <c r="C97" s="29"/>
      <c r="D97" s="29"/>
      <c r="E97" s="29"/>
      <c r="F97" s="29"/>
      <c r="G97" s="29"/>
      <c r="H97" s="29"/>
      <c r="I97" s="7"/>
    </row>
    <row r="98" spans="1:9" x14ac:dyDescent="0.2">
      <c r="A98" s="148" t="s">
        <v>531</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Q164"/>
  <sheetViews>
    <sheetView zoomScale="115" zoomScaleNormal="115" workbookViewId="0"/>
  </sheetViews>
  <sheetFormatPr defaultRowHeight="12.75" x14ac:dyDescent="0.2"/>
  <cols>
    <col min="1" max="1" width="9.28515625" style="32" customWidth="1"/>
    <col min="2" max="2" width="6.42578125" style="32" customWidth="1"/>
    <col min="3" max="3" width="52.28515625" style="206" customWidth="1"/>
    <col min="4" max="4" width="8.7109375" style="32"/>
    <col min="5" max="5" width="9.42578125" style="31" customWidth="1"/>
    <col min="6" max="6" width="13.42578125" style="31" bestFit="1" customWidth="1"/>
    <col min="7" max="7" width="13.42578125" style="31" customWidth="1"/>
    <col min="8" max="8" width="13.140625" style="31" customWidth="1"/>
    <col min="9" max="9" width="12.5703125" style="32" customWidth="1"/>
    <col min="10" max="10" width="13.28515625" style="32" customWidth="1"/>
    <col min="11" max="11" width="20.7109375" customWidth="1"/>
    <col min="12" max="12" width="23.85546875" customWidth="1"/>
    <col min="13" max="13" width="11.42578125" bestFit="1" customWidth="1"/>
    <col min="15" max="15" width="9.140625" bestFit="1" customWidth="1"/>
    <col min="16" max="16" width="16.85546875" bestFit="1" customWidth="1"/>
    <col min="17" max="17" width="11.42578125" bestFit="1" customWidth="1"/>
  </cols>
  <sheetData>
    <row r="1" spans="1:17" ht="51" x14ac:dyDescent="0.2">
      <c r="A1" s="275" t="s">
        <v>12</v>
      </c>
      <c r="B1" s="276" t="s">
        <v>13</v>
      </c>
      <c r="C1" s="276" t="s">
        <v>14</v>
      </c>
      <c r="D1" s="276" t="s">
        <v>15</v>
      </c>
      <c r="E1" s="276" t="s">
        <v>16</v>
      </c>
      <c r="F1" s="277" t="s">
        <v>17</v>
      </c>
      <c r="G1" s="277" t="s">
        <v>18</v>
      </c>
      <c r="H1" s="276" t="s">
        <v>19</v>
      </c>
      <c r="I1" s="276" t="s">
        <v>20</v>
      </c>
      <c r="J1" s="276" t="s">
        <v>21</v>
      </c>
      <c r="K1" s="278" t="s">
        <v>22</v>
      </c>
      <c r="L1" s="214"/>
      <c r="M1" s="214"/>
    </row>
    <row r="2" spans="1:17" ht="18.75" x14ac:dyDescent="0.2">
      <c r="A2" s="273"/>
      <c r="B2" s="446" t="s">
        <v>23</v>
      </c>
      <c r="C2" s="446"/>
      <c r="D2" s="446"/>
      <c r="E2" s="446"/>
      <c r="F2" s="446"/>
      <c r="G2" s="446"/>
      <c r="H2" s="446"/>
      <c r="I2" s="446"/>
      <c r="J2" s="446"/>
      <c r="K2" s="447"/>
      <c r="L2" s="214"/>
      <c r="M2" s="214"/>
    </row>
    <row r="3" spans="1:17" ht="33.950000000000003" customHeight="1" x14ac:dyDescent="0.2">
      <c r="A3" s="443">
        <v>2</v>
      </c>
      <c r="B3" s="28">
        <v>5</v>
      </c>
      <c r="C3" s="269" t="s">
        <v>24</v>
      </c>
      <c r="D3" s="28">
        <v>24023</v>
      </c>
      <c r="E3" s="270" t="s">
        <v>25</v>
      </c>
      <c r="F3" s="215" t="s">
        <v>26</v>
      </c>
      <c r="G3" s="343">
        <v>806</v>
      </c>
      <c r="H3" s="28">
        <v>60</v>
      </c>
      <c r="I3" s="274">
        <f>TRUNC(H3*G3,2)</f>
        <v>48360</v>
      </c>
      <c r="J3" s="271">
        <f>'Limpeza - Item 5'!I186</f>
        <v>8.48</v>
      </c>
      <c r="K3" s="279">
        <f>TRUNC(J3*I3,2)</f>
        <v>410092.79999999999</v>
      </c>
      <c r="M3" s="107"/>
      <c r="O3" s="333"/>
      <c r="P3" s="334"/>
      <c r="Q3" s="107"/>
    </row>
    <row r="4" spans="1:17" ht="18.75" x14ac:dyDescent="0.2">
      <c r="A4" s="443"/>
      <c r="B4" s="446" t="s">
        <v>27</v>
      </c>
      <c r="C4" s="446"/>
      <c r="D4" s="446"/>
      <c r="E4" s="446"/>
      <c r="F4" s="446"/>
      <c r="G4" s="446"/>
      <c r="H4" s="446"/>
      <c r="I4" s="446"/>
      <c r="J4" s="446"/>
      <c r="K4" s="447"/>
      <c r="M4" s="107"/>
      <c r="P4" s="251"/>
    </row>
    <row r="5" spans="1:17" ht="37.5" customHeight="1" x14ac:dyDescent="0.2">
      <c r="A5" s="443"/>
      <c r="B5" s="28">
        <v>6</v>
      </c>
      <c r="C5" s="269" t="s">
        <v>545</v>
      </c>
      <c r="D5" s="28">
        <v>3417</v>
      </c>
      <c r="E5" s="270" t="s">
        <v>25</v>
      </c>
      <c r="F5" s="272" t="s">
        <v>28</v>
      </c>
      <c r="G5" s="393">
        <v>508</v>
      </c>
      <c r="H5" s="28">
        <v>20</v>
      </c>
      <c r="I5" s="274">
        <f>TRUNC(H5*G5,2)</f>
        <v>10160</v>
      </c>
      <c r="J5" s="271">
        <f>'Controle de pragas - Item 6'!H3</f>
        <v>0.26</v>
      </c>
      <c r="K5" s="279">
        <f t="shared" ref="K5" si="0">TRUNC(J5*I5,2)</f>
        <v>2641.6</v>
      </c>
      <c r="M5" s="107"/>
      <c r="P5" s="251"/>
    </row>
    <row r="6" spans="1:17" ht="28.5" customHeight="1" x14ac:dyDescent="0.2">
      <c r="A6" s="443"/>
      <c r="B6" s="28">
        <v>7</v>
      </c>
      <c r="C6" s="269" t="s">
        <v>29</v>
      </c>
      <c r="D6" s="28">
        <v>25259</v>
      </c>
      <c r="E6" s="215" t="s">
        <v>30</v>
      </c>
      <c r="F6" s="272" t="s">
        <v>28</v>
      </c>
      <c r="G6" s="342">
        <v>2</v>
      </c>
      <c r="H6" s="28">
        <v>60</v>
      </c>
      <c r="I6" s="274">
        <f>TRUNC(H6*G6,2)</f>
        <v>120</v>
      </c>
      <c r="J6" s="271">
        <f>'Remanejamento- Item 7'!I220</f>
        <v>207.53</v>
      </c>
      <c r="K6" s="279">
        <f t="shared" ref="K6" si="1">TRUNC(J6*I6,2)</f>
        <v>24903.599999999999</v>
      </c>
      <c r="M6" s="107"/>
    </row>
    <row r="7" spans="1:17" ht="20.100000000000001" customHeight="1" thickBot="1" x14ac:dyDescent="0.25">
      <c r="A7" s="444" t="s">
        <v>31</v>
      </c>
      <c r="B7" s="445"/>
      <c r="C7" s="445"/>
      <c r="D7" s="445"/>
      <c r="E7" s="445"/>
      <c r="F7" s="445"/>
      <c r="G7" s="445"/>
      <c r="H7" s="445"/>
      <c r="I7" s="445"/>
      <c r="J7" s="280"/>
      <c r="K7" s="281">
        <f>TRUNC(SUM(K3:K6),2)</f>
        <v>437638</v>
      </c>
      <c r="L7" s="251"/>
    </row>
    <row r="13" spans="1:17" x14ac:dyDescent="0.2">
      <c r="A13" s="244"/>
    </row>
    <row r="23" spans="1:1" x14ac:dyDescent="0.2">
      <c r="A23" s="245"/>
    </row>
    <row r="24" spans="1:1" x14ac:dyDescent="0.2">
      <c r="A24" s="245"/>
    </row>
    <row r="48" spans="1:1" x14ac:dyDescent="0.2">
      <c r="A48" s="245"/>
    </row>
    <row r="57" spans="1:3" x14ac:dyDescent="0.2">
      <c r="A57" s="244"/>
    </row>
    <row r="58" spans="1:3" x14ac:dyDescent="0.2">
      <c r="A58" s="244"/>
    </row>
    <row r="59" spans="1:3" x14ac:dyDescent="0.2">
      <c r="A59" s="244"/>
    </row>
    <row r="60" spans="1:3" x14ac:dyDescent="0.2">
      <c r="A60" s="244"/>
      <c r="C60" s="250"/>
    </row>
    <row r="65" spans="1:1" x14ac:dyDescent="0.2">
      <c r="A65" s="246"/>
    </row>
    <row r="69" spans="1:1" x14ac:dyDescent="0.2">
      <c r="A69" s="246"/>
    </row>
    <row r="70" spans="1:1" x14ac:dyDescent="0.2">
      <c r="A70" s="246"/>
    </row>
    <row r="72" spans="1:1" x14ac:dyDescent="0.2">
      <c r="A72" s="244"/>
    </row>
    <row r="129" spans="1:11" x14ac:dyDescent="0.2">
      <c r="K129" s="185"/>
    </row>
    <row r="130" spans="1:11" s="185" customFormat="1" x14ac:dyDescent="0.2">
      <c r="A130" s="32"/>
      <c r="B130" s="32"/>
      <c r="C130" s="206"/>
      <c r="D130" s="32"/>
      <c r="E130" s="31"/>
      <c r="F130" s="31"/>
      <c r="G130" s="31"/>
      <c r="H130" s="31"/>
      <c r="I130" s="32"/>
      <c r="J130" s="32"/>
      <c r="K130"/>
    </row>
    <row r="156" spans="1:11" x14ac:dyDescent="0.2">
      <c r="A156" s="31"/>
      <c r="B156" s="31"/>
      <c r="D156" s="31"/>
      <c r="I156" s="31"/>
      <c r="J156" s="31"/>
      <c r="K156" s="214"/>
    </row>
    <row r="157" spans="1:11" s="214" customFormat="1" x14ac:dyDescent="0.2">
      <c r="A157" s="31"/>
      <c r="B157" s="31"/>
      <c r="C157" s="206"/>
      <c r="D157" s="31"/>
      <c r="E157" s="31"/>
      <c r="F157" s="31"/>
      <c r="G157" s="31"/>
      <c r="H157" s="31"/>
      <c r="I157" s="31"/>
      <c r="J157" s="31"/>
    </row>
    <row r="158" spans="1:11" s="214" customFormat="1" x14ac:dyDescent="0.2">
      <c r="A158" s="31"/>
      <c r="B158" s="31"/>
      <c r="C158" s="206"/>
      <c r="D158" s="31"/>
      <c r="E158" s="31"/>
      <c r="F158" s="31"/>
      <c r="G158" s="31"/>
      <c r="H158" s="31"/>
      <c r="I158" s="31"/>
      <c r="J158" s="31"/>
    </row>
    <row r="159" spans="1:11" s="214" customFormat="1" x14ac:dyDescent="0.2">
      <c r="A159" s="31"/>
      <c r="B159" s="31"/>
      <c r="C159" s="206"/>
      <c r="D159" s="31"/>
      <c r="E159" s="31"/>
      <c r="F159" s="31"/>
      <c r="G159" s="31"/>
      <c r="H159" s="31"/>
      <c r="I159" s="31"/>
      <c r="J159" s="31"/>
    </row>
    <row r="160" spans="1:11" s="214" customFormat="1" x14ac:dyDescent="0.2">
      <c r="A160" s="31"/>
      <c r="B160" s="31"/>
      <c r="C160" s="206"/>
      <c r="D160" s="31"/>
      <c r="E160" s="31"/>
      <c r="F160" s="31"/>
      <c r="G160" s="31"/>
      <c r="H160" s="31"/>
      <c r="I160" s="31"/>
      <c r="J160" s="31"/>
    </row>
    <row r="161" spans="1:11" s="214" customFormat="1" x14ac:dyDescent="0.2">
      <c r="A161" s="31"/>
      <c r="B161" s="31"/>
      <c r="C161" s="206"/>
      <c r="D161" s="31"/>
      <c r="E161" s="31"/>
      <c r="F161" s="31"/>
      <c r="G161" s="31"/>
      <c r="H161" s="31"/>
      <c r="I161" s="31"/>
      <c r="J161" s="31"/>
    </row>
    <row r="162" spans="1:11" s="214" customFormat="1" x14ac:dyDescent="0.2">
      <c r="A162" s="31"/>
      <c r="B162" s="31"/>
      <c r="C162" s="206"/>
      <c r="D162" s="31"/>
      <c r="E162" s="31"/>
      <c r="F162" s="31"/>
      <c r="G162" s="31"/>
      <c r="H162" s="31"/>
      <c r="I162" s="31"/>
      <c r="J162" s="31"/>
    </row>
    <row r="163" spans="1:11" s="214" customFormat="1" x14ac:dyDescent="0.2">
      <c r="A163" s="247"/>
      <c r="B163" s="169"/>
      <c r="C163" s="249"/>
      <c r="D163" s="169"/>
      <c r="E163" s="248"/>
      <c r="F163" s="248"/>
      <c r="G163" s="248"/>
      <c r="H163" s="248"/>
      <c r="I163" s="169"/>
      <c r="J163" s="169"/>
      <c r="K163" s="9"/>
    </row>
    <row r="164" spans="1:11" s="9" customFormat="1" x14ac:dyDescent="0.2">
      <c r="A164" s="239"/>
      <c r="B164" s="32"/>
      <c r="C164" s="206"/>
      <c r="D164" s="32"/>
      <c r="E164" s="31"/>
      <c r="F164" s="31"/>
      <c r="G164" s="31"/>
      <c r="H164" s="31"/>
      <c r="I164" s="32"/>
      <c r="J164" s="32"/>
      <c r="K164"/>
    </row>
  </sheetData>
  <mergeCells count="4">
    <mergeCell ref="A3:A6"/>
    <mergeCell ref="A7:I7"/>
    <mergeCell ref="B2:K2"/>
    <mergeCell ref="B4:K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DE86B-E802-4766-ABCC-2E85443F2AD9}">
  <sheetPr>
    <tabColor indexed="13"/>
  </sheetPr>
  <dimension ref="A1:Q224"/>
  <sheetViews>
    <sheetView tabSelected="1" zoomScaleNormal="100" workbookViewId="0">
      <selection sqref="A1:I1"/>
    </sheetView>
  </sheetViews>
  <sheetFormatPr defaultRowHeight="12.75" outlineLevelRow="1" x14ac:dyDescent="0.2"/>
  <cols>
    <col min="1" max="1" width="7.7109375" customWidth="1"/>
    <col min="2" max="2" width="15.28515625" customWidth="1"/>
    <col min="3" max="3" width="13.7109375" bestFit="1" customWidth="1"/>
    <col min="4" max="4" width="20.5703125" customWidth="1"/>
    <col min="5" max="5" width="17.7109375" customWidth="1"/>
    <col min="6" max="6" width="12.85546875" customWidth="1"/>
    <col min="7" max="7" width="12.140625" customWidth="1"/>
    <col min="8" max="8" width="17.42578125" customWidth="1"/>
    <col min="9" max="9" width="21.85546875" customWidth="1"/>
    <col min="10" max="10" width="17.28515625" hidden="1" customWidth="1"/>
    <col min="11" max="16" width="0" hidden="1" customWidth="1"/>
    <col min="18" max="18" width="15.42578125" bestFit="1" customWidth="1"/>
  </cols>
  <sheetData>
    <row r="1" spans="1:16" x14ac:dyDescent="0.2">
      <c r="A1" s="448" t="s">
        <v>32</v>
      </c>
      <c r="B1" s="449"/>
      <c r="C1" s="449"/>
      <c r="D1" s="449"/>
      <c r="E1" s="449"/>
      <c r="F1" s="449"/>
      <c r="G1" s="449"/>
      <c r="H1" s="449"/>
      <c r="I1" s="450"/>
      <c r="J1" s="448"/>
      <c r="K1" s="449"/>
      <c r="L1" s="449"/>
      <c r="M1" s="449"/>
      <c r="N1" s="449"/>
      <c r="O1" s="449"/>
      <c r="P1" s="449"/>
    </row>
    <row r="2" spans="1:16" x14ac:dyDescent="0.2">
      <c r="A2" s="287"/>
      <c r="B2" s="233"/>
      <c r="C2" s="233"/>
      <c r="D2" s="233"/>
      <c r="E2" s="233"/>
      <c r="F2" s="233"/>
      <c r="G2" s="233"/>
      <c r="H2" s="233"/>
      <c r="I2" s="288"/>
      <c r="J2" s="287"/>
      <c r="K2" s="233"/>
      <c r="L2" s="233"/>
      <c r="M2" s="233"/>
      <c r="N2" s="233"/>
      <c r="O2" s="233"/>
      <c r="P2" s="233"/>
    </row>
    <row r="3" spans="1:16" ht="15" customHeight="1" x14ac:dyDescent="0.2">
      <c r="A3" s="451" t="s">
        <v>33</v>
      </c>
      <c r="B3" s="452"/>
      <c r="C3" s="452"/>
      <c r="D3" s="452"/>
      <c r="E3" s="452"/>
      <c r="F3" s="452"/>
      <c r="G3" s="233"/>
      <c r="H3" s="233"/>
      <c r="I3" s="288"/>
      <c r="J3" s="453"/>
      <c r="K3" s="452"/>
      <c r="L3" s="452"/>
      <c r="M3" s="452"/>
      <c r="N3" s="452"/>
      <c r="O3" s="452"/>
      <c r="P3" s="233"/>
    </row>
    <row r="4" spans="1:16" ht="15" customHeight="1" x14ac:dyDescent="0.2">
      <c r="A4" s="453" t="s">
        <v>34</v>
      </c>
      <c r="B4" s="452"/>
      <c r="C4" s="452"/>
      <c r="D4" s="452"/>
      <c r="E4" s="452"/>
      <c r="F4" s="452"/>
      <c r="G4" s="233"/>
      <c r="H4" s="233"/>
      <c r="I4" s="288"/>
      <c r="J4" s="453"/>
      <c r="K4" s="452"/>
      <c r="L4" s="452"/>
      <c r="M4" s="452"/>
      <c r="N4" s="452"/>
      <c r="O4" s="452"/>
      <c r="P4" s="233"/>
    </row>
    <row r="5" spans="1:16" x14ac:dyDescent="0.2">
      <c r="A5" s="59"/>
      <c r="B5" s="9"/>
      <c r="C5" s="9"/>
      <c r="D5" s="9"/>
      <c r="E5" s="9"/>
      <c r="F5" s="9"/>
      <c r="G5" s="9"/>
      <c r="H5" s="9"/>
      <c r="I5" s="97"/>
      <c r="J5" s="59"/>
      <c r="K5" s="9"/>
      <c r="L5" s="9"/>
      <c r="M5" s="9"/>
      <c r="N5" s="9"/>
      <c r="O5" s="9"/>
      <c r="P5" s="9"/>
    </row>
    <row r="6" spans="1:16" x14ac:dyDescent="0.2">
      <c r="A6" s="453" t="s">
        <v>35</v>
      </c>
      <c r="B6" s="452"/>
      <c r="C6" s="452"/>
      <c r="D6" s="452"/>
      <c r="E6" s="452"/>
      <c r="F6" s="452"/>
      <c r="G6" s="9"/>
      <c r="H6" s="9"/>
      <c r="I6" s="97"/>
      <c r="J6" s="453"/>
      <c r="K6" s="452"/>
      <c r="L6" s="452"/>
      <c r="M6" s="452"/>
      <c r="N6" s="452"/>
      <c r="O6" s="452"/>
      <c r="P6" s="9"/>
    </row>
    <row r="7" spans="1:16" x14ac:dyDescent="0.2">
      <c r="A7" s="289"/>
      <c r="B7" s="234"/>
      <c r="C7" s="234"/>
      <c r="D7" s="234"/>
      <c r="E7" s="234"/>
      <c r="F7" s="234"/>
      <c r="G7" s="234"/>
      <c r="H7" s="234"/>
      <c r="I7" s="290"/>
      <c r="J7" s="289"/>
      <c r="K7" s="234"/>
      <c r="L7" s="234"/>
      <c r="M7" s="234"/>
      <c r="N7" s="234"/>
      <c r="O7" s="234"/>
      <c r="P7" s="234"/>
    </row>
    <row r="8" spans="1:16" x14ac:dyDescent="0.2">
      <c r="A8" s="456" t="s">
        <v>36</v>
      </c>
      <c r="B8" s="457"/>
      <c r="C8" s="457"/>
      <c r="D8" s="457"/>
      <c r="E8" s="457"/>
      <c r="F8" s="457"/>
      <c r="G8" s="457"/>
      <c r="H8" s="457"/>
      <c r="I8" s="458"/>
      <c r="J8" s="456"/>
      <c r="K8" s="457"/>
      <c r="L8" s="457"/>
      <c r="M8" s="457"/>
      <c r="N8" s="457"/>
      <c r="O8" s="457"/>
      <c r="P8" s="457"/>
    </row>
    <row r="9" spans="1:16" x14ac:dyDescent="0.2">
      <c r="A9" s="292" t="s">
        <v>37</v>
      </c>
      <c r="B9" s="454" t="s">
        <v>38</v>
      </c>
      <c r="C9" s="455"/>
      <c r="D9" s="455"/>
      <c r="E9" s="455"/>
      <c r="F9" s="455"/>
      <c r="G9" s="455"/>
      <c r="H9" s="455"/>
      <c r="I9" s="293"/>
      <c r="J9" s="292"/>
      <c r="K9" s="454"/>
      <c r="L9" s="455"/>
      <c r="M9" s="455"/>
      <c r="N9" s="455"/>
      <c r="O9" s="455"/>
      <c r="P9" s="455"/>
    </row>
    <row r="10" spans="1:16" x14ac:dyDescent="0.2">
      <c r="A10" s="292" t="s">
        <v>39</v>
      </c>
      <c r="B10" s="454" t="s">
        <v>40</v>
      </c>
      <c r="C10" s="455"/>
      <c r="D10" s="455"/>
      <c r="E10" s="455"/>
      <c r="F10" s="455"/>
      <c r="G10" s="455"/>
      <c r="H10" s="455"/>
      <c r="I10" s="294" t="s">
        <v>547</v>
      </c>
      <c r="J10" s="292"/>
      <c r="K10" s="454"/>
      <c r="L10" s="455"/>
      <c r="M10" s="455"/>
      <c r="N10" s="455"/>
      <c r="O10" s="455"/>
      <c r="P10" s="455"/>
    </row>
    <row r="11" spans="1:16" x14ac:dyDescent="0.2">
      <c r="A11" s="292" t="s">
        <v>41</v>
      </c>
      <c r="B11" s="454" t="s">
        <v>42</v>
      </c>
      <c r="C11" s="454"/>
      <c r="D11" s="454"/>
      <c r="E11" s="454"/>
      <c r="F11" s="454"/>
      <c r="G11" s="454"/>
      <c r="H11" s="454"/>
      <c r="I11" s="294" t="s">
        <v>43</v>
      </c>
      <c r="J11" s="292"/>
      <c r="K11" s="454"/>
      <c r="L11" s="454"/>
      <c r="M11" s="454"/>
      <c r="N11" s="454"/>
      <c r="O11" s="454"/>
      <c r="P11" s="454"/>
    </row>
    <row r="12" spans="1:16" x14ac:dyDescent="0.2">
      <c r="A12" s="292" t="s">
        <v>44</v>
      </c>
      <c r="B12" s="454" t="s">
        <v>45</v>
      </c>
      <c r="C12" s="455"/>
      <c r="D12" s="455"/>
      <c r="E12" s="455"/>
      <c r="F12" s="455"/>
      <c r="G12" s="455"/>
      <c r="H12" s="455"/>
      <c r="I12" s="295">
        <v>60</v>
      </c>
      <c r="J12" s="292"/>
      <c r="K12" s="454"/>
      <c r="L12" s="455"/>
      <c r="M12" s="455"/>
      <c r="N12" s="455"/>
      <c r="O12" s="455"/>
      <c r="P12" s="455"/>
    </row>
    <row r="13" spans="1:16" x14ac:dyDescent="0.2">
      <c r="A13" s="287"/>
      <c r="B13" s="234"/>
      <c r="C13" s="234"/>
      <c r="D13" s="234"/>
      <c r="E13" s="234"/>
      <c r="F13" s="234"/>
      <c r="G13" s="234"/>
      <c r="H13" s="233"/>
      <c r="I13" s="288"/>
      <c r="J13" s="287"/>
      <c r="K13" s="234"/>
      <c r="L13" s="234"/>
      <c r="M13" s="234"/>
      <c r="N13" s="234"/>
      <c r="O13" s="234"/>
      <c r="P13" s="234"/>
    </row>
    <row r="14" spans="1:16" x14ac:dyDescent="0.2">
      <c r="A14" s="456" t="s">
        <v>46</v>
      </c>
      <c r="B14" s="457"/>
      <c r="C14" s="457"/>
      <c r="D14" s="457"/>
      <c r="E14" s="457"/>
      <c r="F14" s="457"/>
      <c r="G14" s="457"/>
      <c r="H14" s="457"/>
      <c r="I14" s="458"/>
      <c r="J14" s="456"/>
      <c r="K14" s="457"/>
      <c r="L14" s="457"/>
      <c r="M14" s="457"/>
      <c r="N14" s="457"/>
      <c r="O14" s="457"/>
      <c r="P14" s="457"/>
    </row>
    <row r="15" spans="1:16" x14ac:dyDescent="0.2">
      <c r="A15" s="464" t="s">
        <v>47</v>
      </c>
      <c r="B15" s="465"/>
      <c r="C15" s="465" t="s">
        <v>48</v>
      </c>
      <c r="D15" s="465"/>
      <c r="E15" s="466" t="s">
        <v>49</v>
      </c>
      <c r="F15" s="466"/>
      <c r="G15" s="466"/>
      <c r="H15" s="466"/>
      <c r="I15" s="467"/>
      <c r="J15" s="464"/>
      <c r="K15" s="465"/>
      <c r="L15" s="465"/>
      <c r="M15" s="465"/>
      <c r="N15" s="465"/>
      <c r="O15" s="465"/>
      <c r="P15" s="465"/>
    </row>
    <row r="16" spans="1:16" s="41" customFormat="1" ht="25.5" customHeight="1" x14ac:dyDescent="0.2">
      <c r="A16" s="459" t="s">
        <v>50</v>
      </c>
      <c r="B16" s="460"/>
      <c r="C16" s="461" t="s">
        <v>51</v>
      </c>
      <c r="D16" s="462"/>
      <c r="E16" s="463" t="s">
        <v>18</v>
      </c>
      <c r="F16" s="463"/>
      <c r="G16" s="463"/>
      <c r="H16" s="463"/>
      <c r="I16" s="344">
        <v>1</v>
      </c>
      <c r="J16" s="459"/>
      <c r="K16" s="460"/>
      <c r="L16" s="461"/>
      <c r="M16" s="460"/>
      <c r="O16" s="286"/>
      <c r="P16" s="286"/>
    </row>
    <row r="17" spans="1:16" ht="15" customHeight="1" x14ac:dyDescent="0.2">
      <c r="A17" s="298"/>
      <c r="B17" s="235"/>
      <c r="C17" s="31"/>
      <c r="D17" s="236"/>
      <c r="E17" s="32"/>
      <c r="F17" s="237"/>
      <c r="G17" s="237"/>
      <c r="H17" s="237"/>
      <c r="I17" s="299"/>
      <c r="J17" s="298"/>
      <c r="K17" s="235"/>
      <c r="L17" s="31"/>
      <c r="M17" s="236"/>
      <c r="N17" s="32"/>
      <c r="O17" s="237"/>
      <c r="P17" s="237"/>
    </row>
    <row r="18" spans="1:16" ht="15" customHeight="1" x14ac:dyDescent="0.2">
      <c r="A18" s="300" t="s">
        <v>52</v>
      </c>
      <c r="B18" s="235"/>
      <c r="C18" s="31"/>
      <c r="D18" s="236"/>
      <c r="E18" s="32"/>
      <c r="F18" s="237"/>
      <c r="G18" s="237"/>
      <c r="H18" s="237"/>
      <c r="I18" s="299"/>
      <c r="J18" s="300"/>
      <c r="K18" s="235"/>
      <c r="L18" s="31"/>
      <c r="M18" s="236"/>
      <c r="N18" s="32"/>
      <c r="O18" s="237"/>
      <c r="P18" s="237"/>
    </row>
    <row r="19" spans="1:16" ht="15" customHeight="1" x14ac:dyDescent="0.2">
      <c r="A19" s="300" t="s">
        <v>53</v>
      </c>
      <c r="B19" s="235"/>
      <c r="C19" s="31"/>
      <c r="D19" s="236"/>
      <c r="E19" s="32"/>
      <c r="F19" s="237"/>
      <c r="G19" s="237"/>
      <c r="H19" s="237"/>
      <c r="I19" s="299"/>
      <c r="J19" s="300"/>
      <c r="K19" s="235"/>
      <c r="L19" s="31"/>
      <c r="M19" s="236"/>
      <c r="N19" s="32"/>
      <c r="O19" s="237"/>
      <c r="P19" s="237"/>
    </row>
    <row r="20" spans="1:16" ht="15" customHeight="1" x14ac:dyDescent="0.2">
      <c r="A20" s="300" t="s">
        <v>54</v>
      </c>
      <c r="B20" s="235"/>
      <c r="C20" s="31"/>
      <c r="D20" s="236"/>
      <c r="E20" s="32"/>
      <c r="F20" s="237"/>
      <c r="G20" s="237"/>
      <c r="H20" s="237"/>
      <c r="I20" s="299"/>
      <c r="J20" s="300"/>
      <c r="K20" s="235"/>
      <c r="L20" s="31"/>
      <c r="M20" s="236"/>
      <c r="N20" s="32"/>
      <c r="O20" s="237"/>
      <c r="P20" s="237"/>
    </row>
    <row r="21" spans="1:16" ht="15" customHeight="1" x14ac:dyDescent="0.2">
      <c r="A21" s="300" t="s">
        <v>55</v>
      </c>
      <c r="B21" s="235"/>
      <c r="C21" s="31"/>
      <c r="D21" s="236"/>
      <c r="E21" s="32"/>
      <c r="F21" s="237"/>
      <c r="G21" s="237"/>
      <c r="H21" s="237"/>
      <c r="I21" s="299"/>
      <c r="J21" s="300"/>
      <c r="K21" s="235"/>
      <c r="L21" s="31"/>
      <c r="M21" s="236"/>
      <c r="N21" s="32"/>
      <c r="O21" s="237"/>
      <c r="P21" s="237"/>
    </row>
    <row r="22" spans="1:16" ht="15" customHeight="1" x14ac:dyDescent="0.2">
      <c r="A22" s="301"/>
      <c r="B22" s="235"/>
      <c r="C22" s="31"/>
      <c r="D22" s="236"/>
      <c r="E22" s="32"/>
      <c r="F22" s="237"/>
      <c r="G22" s="237"/>
      <c r="H22" s="237"/>
      <c r="I22" s="302"/>
      <c r="J22" s="301"/>
      <c r="K22" s="235"/>
      <c r="L22" s="31"/>
      <c r="M22" s="236"/>
      <c r="N22" s="32"/>
      <c r="O22" s="237"/>
      <c r="P22" s="237"/>
    </row>
    <row r="23" spans="1:16" ht="15" customHeight="1" x14ac:dyDescent="0.2">
      <c r="A23" s="303" t="s">
        <v>56</v>
      </c>
      <c r="B23" s="235"/>
      <c r="C23" s="31"/>
      <c r="D23" s="236"/>
      <c r="E23" s="32"/>
      <c r="F23" s="237"/>
      <c r="G23" s="237"/>
      <c r="H23" s="237"/>
      <c r="I23" s="299"/>
      <c r="J23" s="303"/>
      <c r="K23" s="235"/>
      <c r="L23" s="31"/>
      <c r="M23" s="236"/>
      <c r="N23" s="32"/>
      <c r="O23" s="237"/>
      <c r="P23" s="237"/>
    </row>
    <row r="24" spans="1:16" ht="15" customHeight="1" x14ac:dyDescent="0.2">
      <c r="A24" s="298"/>
      <c r="B24" s="235"/>
      <c r="C24" s="31"/>
      <c r="D24" s="236"/>
      <c r="E24" s="32"/>
      <c r="F24" s="237"/>
      <c r="G24" s="237"/>
      <c r="H24" s="237"/>
      <c r="I24" s="299"/>
      <c r="J24" s="298"/>
      <c r="K24" s="235"/>
      <c r="L24" s="31"/>
      <c r="M24" s="236"/>
      <c r="N24" s="32"/>
      <c r="O24" s="237"/>
      <c r="P24" s="237"/>
    </row>
    <row r="25" spans="1:16" ht="15" customHeight="1" x14ac:dyDescent="0.2">
      <c r="A25" s="303" t="s">
        <v>57</v>
      </c>
      <c r="B25" s="235"/>
      <c r="C25" s="31"/>
      <c r="D25" s="236"/>
      <c r="E25" s="32"/>
      <c r="F25" s="237"/>
      <c r="G25" s="237"/>
      <c r="H25" s="237"/>
      <c r="I25" s="299"/>
      <c r="J25" s="303"/>
      <c r="K25" s="235"/>
      <c r="L25" s="31"/>
      <c r="M25" s="236"/>
      <c r="N25" s="32"/>
      <c r="O25" s="237"/>
      <c r="P25" s="237"/>
    </row>
    <row r="26" spans="1:16" ht="15" customHeight="1" x14ac:dyDescent="0.2">
      <c r="A26" s="300" t="s">
        <v>58</v>
      </c>
      <c r="B26" s="235"/>
      <c r="C26" s="31"/>
      <c r="D26" s="236"/>
      <c r="E26" s="32"/>
      <c r="F26" s="237"/>
      <c r="G26" s="237"/>
      <c r="H26" s="237"/>
      <c r="I26" s="299"/>
      <c r="J26" s="300"/>
      <c r="K26" s="235"/>
      <c r="L26" s="31"/>
      <c r="M26" s="236"/>
      <c r="N26" s="32"/>
      <c r="O26" s="237"/>
      <c r="P26" s="237"/>
    </row>
    <row r="27" spans="1:16" x14ac:dyDescent="0.2">
      <c r="A27" s="456" t="s">
        <v>59</v>
      </c>
      <c r="B27" s="457"/>
      <c r="C27" s="457"/>
      <c r="D27" s="457"/>
      <c r="E27" s="457"/>
      <c r="F27" s="457"/>
      <c r="G27" s="457"/>
      <c r="H27" s="457"/>
      <c r="I27" s="458"/>
      <c r="J27" s="456"/>
      <c r="K27" s="457"/>
      <c r="L27" s="457"/>
      <c r="M27" s="457"/>
      <c r="N27" s="457"/>
      <c r="O27" s="457"/>
      <c r="P27" s="457"/>
    </row>
    <row r="28" spans="1:16" x14ac:dyDescent="0.2">
      <c r="A28" s="304">
        <v>1</v>
      </c>
      <c r="B28" s="468" t="s">
        <v>60</v>
      </c>
      <c r="C28" s="468"/>
      <c r="D28" s="468"/>
      <c r="E28" s="468"/>
      <c r="F28" s="468"/>
      <c r="G28" s="468"/>
      <c r="H28" s="468"/>
      <c r="I28" s="305" t="str">
        <f>A16</f>
        <v>Limpeza e Conservação</v>
      </c>
      <c r="J28" s="304"/>
      <c r="K28" s="468"/>
      <c r="L28" s="468"/>
      <c r="M28" s="468"/>
      <c r="N28" s="468"/>
      <c r="O28" s="468"/>
      <c r="P28" s="468"/>
    </row>
    <row r="29" spans="1:16" x14ac:dyDescent="0.2">
      <c r="A29" s="292">
        <v>2</v>
      </c>
      <c r="B29" s="454" t="s">
        <v>61</v>
      </c>
      <c r="C29" s="454"/>
      <c r="D29" s="454"/>
      <c r="E29" s="454"/>
      <c r="F29" s="454"/>
      <c r="G29" s="454"/>
      <c r="H29" s="454"/>
      <c r="I29" s="306" t="s">
        <v>218</v>
      </c>
      <c r="J29" s="292"/>
      <c r="K29" s="454"/>
      <c r="L29" s="454"/>
      <c r="M29" s="454"/>
      <c r="N29" s="454"/>
      <c r="O29" s="454"/>
      <c r="P29" s="454"/>
    </row>
    <row r="30" spans="1:16" x14ac:dyDescent="0.2">
      <c r="A30" s="292">
        <v>3</v>
      </c>
      <c r="B30" s="455" t="s">
        <v>63</v>
      </c>
      <c r="C30" s="455"/>
      <c r="D30" s="455"/>
      <c r="E30" s="455"/>
      <c r="F30" s="455"/>
      <c r="G30" s="455"/>
      <c r="H30" s="455"/>
      <c r="I30" s="307">
        <v>1524.77</v>
      </c>
      <c r="J30" s="292"/>
      <c r="K30" s="455"/>
      <c r="L30" s="455"/>
      <c r="M30" s="455"/>
      <c r="N30" s="455"/>
      <c r="O30" s="455"/>
      <c r="P30" s="455"/>
    </row>
    <row r="31" spans="1:16" x14ac:dyDescent="0.2">
      <c r="A31" s="304">
        <v>4</v>
      </c>
      <c r="B31" s="468" t="s">
        <v>64</v>
      </c>
      <c r="C31" s="468"/>
      <c r="D31" s="468"/>
      <c r="E31" s="468"/>
      <c r="F31" s="468"/>
      <c r="G31" s="468"/>
      <c r="H31" s="468"/>
      <c r="I31" s="308" t="s">
        <v>546</v>
      </c>
      <c r="J31" s="304"/>
      <c r="K31" s="468"/>
      <c r="L31" s="468"/>
      <c r="M31" s="468"/>
      <c r="N31" s="468"/>
      <c r="O31" s="468"/>
      <c r="P31" s="468"/>
    </row>
    <row r="32" spans="1:16" x14ac:dyDescent="0.2">
      <c r="A32" s="292">
        <v>5</v>
      </c>
      <c r="B32" s="454" t="s">
        <v>65</v>
      </c>
      <c r="C32" s="455"/>
      <c r="D32" s="455"/>
      <c r="E32" s="455"/>
      <c r="F32" s="455"/>
      <c r="G32" s="455"/>
      <c r="H32" s="455"/>
      <c r="I32" s="293">
        <v>45658</v>
      </c>
      <c r="J32" s="292"/>
      <c r="K32" s="454"/>
      <c r="L32" s="455"/>
      <c r="M32" s="455"/>
      <c r="N32" s="455"/>
      <c r="O32" s="455"/>
      <c r="P32" s="455"/>
    </row>
    <row r="33" spans="1:17" x14ac:dyDescent="0.2">
      <c r="A33" s="287"/>
      <c r="B33" s="234"/>
      <c r="C33" s="234"/>
      <c r="D33" s="234"/>
      <c r="E33" s="234"/>
      <c r="F33" s="234"/>
      <c r="G33" s="234"/>
      <c r="H33" s="234"/>
      <c r="I33" s="309"/>
      <c r="J33" s="287"/>
      <c r="K33" s="234"/>
      <c r="L33" s="234"/>
      <c r="M33" s="234"/>
      <c r="N33" s="234"/>
      <c r="O33" s="234"/>
      <c r="P33" s="234"/>
    </row>
    <row r="34" spans="1:17" x14ac:dyDescent="0.2">
      <c r="A34" s="300" t="s">
        <v>66</v>
      </c>
      <c r="B34" s="234"/>
      <c r="C34" s="234"/>
      <c r="D34" s="234"/>
      <c r="E34" s="234"/>
      <c r="F34" s="234"/>
      <c r="G34" s="234"/>
      <c r="H34" s="234"/>
      <c r="I34" s="309"/>
      <c r="J34" s="300"/>
      <c r="K34" s="234"/>
      <c r="L34" s="234"/>
      <c r="M34" s="234"/>
      <c r="N34" s="234"/>
      <c r="O34" s="234"/>
      <c r="P34" s="234"/>
    </row>
    <row r="35" spans="1:17" x14ac:dyDescent="0.2">
      <c r="A35" s="300" t="s">
        <v>67</v>
      </c>
      <c r="B35" s="234"/>
      <c r="C35" s="234"/>
      <c r="D35" s="234"/>
      <c r="E35" s="234"/>
      <c r="F35" s="234"/>
      <c r="G35" s="234"/>
      <c r="H35" s="234"/>
      <c r="I35" s="309"/>
      <c r="J35" s="300"/>
      <c r="K35" s="234"/>
      <c r="L35" s="234"/>
      <c r="M35" s="234"/>
      <c r="N35" s="234"/>
      <c r="O35" s="234"/>
      <c r="P35" s="234"/>
    </row>
    <row r="36" spans="1:17" x14ac:dyDescent="0.2">
      <c r="A36" s="57"/>
      <c r="I36" s="58"/>
      <c r="J36" s="57"/>
    </row>
    <row r="37" spans="1:17" x14ac:dyDescent="0.2">
      <c r="A37" s="469" t="s">
        <v>68</v>
      </c>
      <c r="B37" s="470"/>
      <c r="C37" s="470"/>
      <c r="D37" s="470"/>
      <c r="E37" s="470"/>
      <c r="F37" s="470"/>
      <c r="G37" s="470"/>
      <c r="H37" s="470"/>
      <c r="I37" s="471"/>
      <c r="J37" s="469"/>
      <c r="K37" s="470"/>
      <c r="L37" s="470"/>
      <c r="M37" s="470"/>
      <c r="N37" s="470"/>
      <c r="O37" s="470"/>
      <c r="P37" s="470"/>
    </row>
    <row r="38" spans="1:17" x14ac:dyDescent="0.2">
      <c r="A38" s="296">
        <v>1</v>
      </c>
      <c r="B38" s="465" t="s">
        <v>69</v>
      </c>
      <c r="C38" s="465"/>
      <c r="D38" s="465"/>
      <c r="E38" s="465"/>
      <c r="F38" s="465"/>
      <c r="G38" s="465"/>
      <c r="H38" s="8" t="s">
        <v>70</v>
      </c>
      <c r="I38" s="297" t="s">
        <v>71</v>
      </c>
      <c r="J38" s="296"/>
      <c r="K38" s="465"/>
      <c r="L38" s="465"/>
      <c r="M38" s="465"/>
      <c r="N38" s="465"/>
      <c r="O38" s="465"/>
      <c r="P38" s="465"/>
    </row>
    <row r="39" spans="1:17" x14ac:dyDescent="0.2">
      <c r="A39" s="296" t="s">
        <v>37</v>
      </c>
      <c r="B39" s="454" t="s">
        <v>72</v>
      </c>
      <c r="C39" s="454"/>
      <c r="D39" s="454"/>
      <c r="E39" s="454"/>
      <c r="F39" s="454"/>
      <c r="G39" s="454"/>
      <c r="H39" s="20"/>
      <c r="I39" s="310">
        <f>I30</f>
        <v>1524.77</v>
      </c>
      <c r="J39" s="296"/>
      <c r="K39" s="454"/>
      <c r="L39" s="454"/>
      <c r="M39" s="454"/>
      <c r="N39" s="454"/>
      <c r="O39" s="454"/>
      <c r="P39" s="454"/>
    </row>
    <row r="40" spans="1:17" x14ac:dyDescent="0.2">
      <c r="A40" s="296" t="s">
        <v>39</v>
      </c>
      <c r="B40" s="454" t="s">
        <v>73</v>
      </c>
      <c r="C40" s="454"/>
      <c r="D40" s="454"/>
      <c r="E40" s="454"/>
      <c r="F40" s="454"/>
      <c r="G40" s="454"/>
      <c r="H40" s="2"/>
      <c r="I40" s="310">
        <f>I39*H40</f>
        <v>0</v>
      </c>
      <c r="J40" s="296"/>
      <c r="K40" s="454"/>
      <c r="L40" s="454"/>
      <c r="M40" s="454"/>
      <c r="N40" s="454"/>
      <c r="O40" s="454"/>
      <c r="P40" s="454"/>
      <c r="Q40" s="25"/>
    </row>
    <row r="41" spans="1:17" x14ac:dyDescent="0.2">
      <c r="A41" s="296" t="s">
        <v>41</v>
      </c>
      <c r="B41" s="454" t="s">
        <v>74</v>
      </c>
      <c r="C41" s="454"/>
      <c r="D41" s="454"/>
      <c r="E41" s="454"/>
      <c r="F41" s="454"/>
      <c r="G41" s="454"/>
      <c r="H41" s="2"/>
      <c r="I41" s="310">
        <f>H41*I39</f>
        <v>0</v>
      </c>
      <c r="J41" s="296"/>
      <c r="K41" s="454"/>
      <c r="L41" s="454"/>
      <c r="M41" s="454"/>
      <c r="N41" s="454"/>
      <c r="O41" s="454"/>
      <c r="P41" s="454"/>
    </row>
    <row r="42" spans="1:17" x14ac:dyDescent="0.2">
      <c r="A42" s="296" t="s">
        <v>44</v>
      </c>
      <c r="B42" s="454" t="s">
        <v>75</v>
      </c>
      <c r="C42" s="454"/>
      <c r="D42" s="454"/>
      <c r="E42" s="454"/>
      <c r="F42" s="454"/>
      <c r="G42" s="454"/>
      <c r="H42" s="2"/>
      <c r="I42" s="310">
        <v>0</v>
      </c>
      <c r="J42" s="296"/>
      <c r="K42" s="454"/>
      <c r="L42" s="454"/>
      <c r="M42" s="454"/>
      <c r="N42" s="454"/>
      <c r="O42" s="454"/>
      <c r="P42" s="454"/>
      <c r="Q42" s="25"/>
    </row>
    <row r="43" spans="1:17" x14ac:dyDescent="0.2">
      <c r="A43" s="296" t="s">
        <v>76</v>
      </c>
      <c r="B43" s="454" t="s">
        <v>77</v>
      </c>
      <c r="C43" s="454"/>
      <c r="D43" s="454"/>
      <c r="E43" s="454"/>
      <c r="F43" s="454"/>
      <c r="G43" s="454"/>
      <c r="H43" s="5"/>
      <c r="I43" s="310">
        <v>0</v>
      </c>
      <c r="J43" s="296"/>
      <c r="K43" s="454"/>
      <c r="L43" s="454"/>
      <c r="M43" s="454"/>
      <c r="N43" s="454"/>
      <c r="O43" s="454"/>
      <c r="P43" s="454"/>
      <c r="Q43" s="25"/>
    </row>
    <row r="44" spans="1:17" x14ac:dyDescent="0.2">
      <c r="A44" s="296" t="s">
        <v>78</v>
      </c>
      <c r="B44" s="454" t="s">
        <v>79</v>
      </c>
      <c r="C44" s="454"/>
      <c r="D44" s="454"/>
      <c r="E44" s="454"/>
      <c r="F44" s="454"/>
      <c r="G44" s="454"/>
      <c r="H44" s="2"/>
      <c r="I44" s="310">
        <v>0</v>
      </c>
      <c r="J44" s="296"/>
      <c r="K44" s="454"/>
      <c r="L44" s="454"/>
      <c r="M44" s="454"/>
      <c r="N44" s="454"/>
      <c r="O44" s="454"/>
      <c r="P44" s="454"/>
    </row>
    <row r="45" spans="1:17" x14ac:dyDescent="0.2">
      <c r="A45" s="475" t="s">
        <v>80</v>
      </c>
      <c r="B45" s="457"/>
      <c r="C45" s="457"/>
      <c r="D45" s="457"/>
      <c r="E45" s="457"/>
      <c r="F45" s="457"/>
      <c r="G45" s="457"/>
      <c r="H45" s="457"/>
      <c r="I45" s="311">
        <f>SUM(I39:I44)</f>
        <v>1524.77</v>
      </c>
      <c r="J45" s="475"/>
      <c r="K45" s="457"/>
      <c r="L45" s="457"/>
      <c r="M45" s="457"/>
      <c r="N45" s="457"/>
      <c r="O45" s="457"/>
      <c r="P45" s="457"/>
    </row>
    <row r="46" spans="1:17" s="9" customFormat="1" x14ac:dyDescent="0.2">
      <c r="A46" s="59"/>
      <c r="I46" s="97"/>
      <c r="J46" s="59"/>
    </row>
    <row r="47" spans="1:17" s="9" customFormat="1" x14ac:dyDescent="0.2">
      <c r="A47" s="300" t="s">
        <v>81</v>
      </c>
      <c r="I47" s="97"/>
      <c r="J47" s="300"/>
    </row>
    <row r="48" spans="1:17" s="9" customFormat="1" x14ac:dyDescent="0.2">
      <c r="A48" s="300" t="s">
        <v>82</v>
      </c>
      <c r="I48" s="97"/>
      <c r="J48" s="300"/>
    </row>
    <row r="49" spans="1:16" x14ac:dyDescent="0.2">
      <c r="A49" s="312"/>
      <c r="B49" s="3"/>
      <c r="C49" s="3"/>
      <c r="D49" s="3"/>
      <c r="E49" s="3"/>
      <c r="F49" s="3"/>
      <c r="G49" s="3"/>
      <c r="H49" s="3"/>
      <c r="I49" s="61"/>
      <c r="J49" s="312"/>
      <c r="K49" s="3"/>
      <c r="L49" s="3"/>
      <c r="M49" s="3"/>
      <c r="N49" s="3"/>
      <c r="O49" s="3"/>
      <c r="P49" s="3"/>
    </row>
    <row r="50" spans="1:16" x14ac:dyDescent="0.2">
      <c r="A50" s="469" t="s">
        <v>83</v>
      </c>
      <c r="B50" s="470"/>
      <c r="C50" s="470"/>
      <c r="D50" s="470"/>
      <c r="E50" s="470"/>
      <c r="F50" s="470"/>
      <c r="G50" s="470"/>
      <c r="H50" s="470"/>
      <c r="I50" s="471"/>
      <c r="J50" s="469"/>
      <c r="K50" s="470"/>
      <c r="L50" s="470"/>
      <c r="M50" s="470"/>
      <c r="N50" s="470"/>
      <c r="O50" s="470"/>
      <c r="P50" s="470"/>
    </row>
    <row r="51" spans="1:16" x14ac:dyDescent="0.2">
      <c r="A51" s="313" t="s">
        <v>84</v>
      </c>
      <c r="B51" s="472" t="s">
        <v>85</v>
      </c>
      <c r="C51" s="473"/>
      <c r="D51" s="473"/>
      <c r="E51" s="473"/>
      <c r="F51" s="473"/>
      <c r="G51" s="474"/>
      <c r="H51" s="8" t="s">
        <v>70</v>
      </c>
      <c r="I51" s="297" t="s">
        <v>71</v>
      </c>
      <c r="J51" s="313"/>
      <c r="K51" s="472"/>
      <c r="L51" s="473"/>
      <c r="M51" s="473"/>
      <c r="N51" s="473"/>
      <c r="O51" s="473"/>
      <c r="P51" s="474"/>
    </row>
    <row r="52" spans="1:16" ht="13.5" customHeight="1" x14ac:dyDescent="0.2">
      <c r="A52" s="296" t="s">
        <v>37</v>
      </c>
      <c r="B52" s="454" t="s">
        <v>86</v>
      </c>
      <c r="C52" s="454"/>
      <c r="D52" s="454"/>
      <c r="E52" s="454"/>
      <c r="F52" s="454"/>
      <c r="G52" s="454"/>
      <c r="H52" s="1">
        <f>1/12</f>
        <v>8.3333333333333329E-2</v>
      </c>
      <c r="I52" s="82">
        <f>$I$45*H52</f>
        <v>127.06416666666667</v>
      </c>
      <c r="J52" s="296"/>
      <c r="K52" s="454"/>
      <c r="L52" s="454"/>
      <c r="M52" s="454"/>
      <c r="N52" s="454"/>
      <c r="O52" s="454"/>
      <c r="P52" s="454"/>
    </row>
    <row r="53" spans="1:16" x14ac:dyDescent="0.2">
      <c r="A53" s="296" t="s">
        <v>39</v>
      </c>
      <c r="B53" s="454" t="s">
        <v>87</v>
      </c>
      <c r="C53" s="454"/>
      <c r="D53" s="454"/>
      <c r="E53" s="454"/>
      <c r="F53" s="454"/>
      <c r="G53" s="454"/>
      <c r="H53" s="22">
        <v>0.121</v>
      </c>
      <c r="I53" s="82">
        <f>$I$45*H53</f>
        <v>184.49716999999998</v>
      </c>
      <c r="J53" s="296"/>
      <c r="K53" s="454"/>
      <c r="L53" s="454"/>
      <c r="M53" s="454"/>
      <c r="N53" s="454"/>
      <c r="O53" s="454"/>
      <c r="P53" s="454"/>
    </row>
    <row r="54" spans="1:16" x14ac:dyDescent="0.2">
      <c r="A54" s="456" t="s">
        <v>88</v>
      </c>
      <c r="B54" s="457"/>
      <c r="C54" s="457"/>
      <c r="D54" s="457"/>
      <c r="E54" s="457"/>
      <c r="F54" s="457"/>
      <c r="G54" s="457"/>
      <c r="H54" s="33">
        <f>TRUNC(SUM(H52:H53),4)</f>
        <v>0.20430000000000001</v>
      </c>
      <c r="I54" s="314">
        <f>SUM(I52:I53)</f>
        <v>311.56133666666665</v>
      </c>
      <c r="J54" s="456"/>
      <c r="K54" s="457"/>
      <c r="L54" s="457"/>
      <c r="M54" s="457"/>
      <c r="N54" s="457"/>
      <c r="O54" s="457"/>
      <c r="P54" s="457"/>
    </row>
    <row r="55" spans="1:16" ht="21.95" customHeight="1" x14ac:dyDescent="0.2">
      <c r="A55" s="313" t="s">
        <v>41</v>
      </c>
      <c r="B55" s="479" t="s">
        <v>89</v>
      </c>
      <c r="C55" s="479"/>
      <c r="D55" s="479"/>
      <c r="E55" s="479"/>
      <c r="F55" s="479"/>
      <c r="G55" s="479"/>
      <c r="H55" s="149">
        <f>H54*H75</f>
        <v>7.518240000000001E-2</v>
      </c>
      <c r="I55" s="83">
        <f>$I$45*H55</f>
        <v>114.63586804800002</v>
      </c>
      <c r="J55" s="313"/>
      <c r="K55" s="479"/>
      <c r="L55" s="479"/>
      <c r="M55" s="479"/>
      <c r="N55" s="479"/>
      <c r="O55" s="479"/>
      <c r="P55" s="479"/>
    </row>
    <row r="56" spans="1:16" x14ac:dyDescent="0.2">
      <c r="A56" s="456" t="s">
        <v>90</v>
      </c>
      <c r="B56" s="457"/>
      <c r="C56" s="457"/>
      <c r="D56" s="457"/>
      <c r="E56" s="457"/>
      <c r="F56" s="457"/>
      <c r="G56" s="457"/>
      <c r="H56" s="33">
        <f>TRUNC(SUM(H54:H55),4)</f>
        <v>0.27939999999999998</v>
      </c>
      <c r="I56" s="314">
        <f>SUM(I54:I55)</f>
        <v>426.19720471466667</v>
      </c>
      <c r="J56" s="456"/>
      <c r="K56" s="457"/>
      <c r="L56" s="457"/>
      <c r="M56" s="457"/>
      <c r="N56" s="457"/>
      <c r="O56" s="457"/>
      <c r="P56" s="457"/>
    </row>
    <row r="57" spans="1:16" x14ac:dyDescent="0.2">
      <c r="A57" s="312"/>
      <c r="B57" s="3"/>
      <c r="C57" s="3"/>
      <c r="D57" s="3"/>
      <c r="E57" s="3"/>
      <c r="F57" s="3"/>
      <c r="G57" s="3"/>
      <c r="H57" s="35"/>
      <c r="I57" s="61"/>
      <c r="J57" s="312"/>
      <c r="K57" s="3"/>
      <c r="L57" s="3"/>
      <c r="M57" s="3"/>
      <c r="N57" s="3"/>
      <c r="O57" s="3"/>
      <c r="P57" s="3"/>
    </row>
    <row r="58" spans="1:16" x14ac:dyDescent="0.2">
      <c r="A58" s="300" t="s">
        <v>91</v>
      </c>
      <c r="B58" s="3"/>
      <c r="C58" s="3"/>
      <c r="D58" s="3"/>
      <c r="E58" s="3"/>
      <c r="F58" s="3"/>
      <c r="G58" s="3"/>
      <c r="H58" s="35"/>
      <c r="I58" s="61"/>
      <c r="J58" s="300"/>
      <c r="K58" s="3"/>
      <c r="L58" s="3"/>
      <c r="M58" s="3"/>
      <c r="N58" s="3"/>
      <c r="O58" s="3"/>
      <c r="P58" s="3"/>
    </row>
    <row r="59" spans="1:16" x14ac:dyDescent="0.2">
      <c r="A59" s="300" t="s">
        <v>92</v>
      </c>
      <c r="B59" s="3"/>
      <c r="C59" s="3"/>
      <c r="D59" s="3"/>
      <c r="E59" s="3"/>
      <c r="F59" s="3"/>
      <c r="G59" s="3"/>
      <c r="H59" s="35"/>
      <c r="I59" s="61"/>
      <c r="J59" s="300"/>
      <c r="K59" s="3"/>
      <c r="L59" s="3"/>
      <c r="M59" s="3"/>
      <c r="N59" s="3"/>
      <c r="O59" s="3"/>
      <c r="P59" s="3"/>
    </row>
    <row r="60" spans="1:16" x14ac:dyDescent="0.2">
      <c r="A60" s="300" t="s">
        <v>93</v>
      </c>
      <c r="B60" s="3"/>
      <c r="C60" s="3"/>
      <c r="D60" s="3"/>
      <c r="E60" s="3"/>
      <c r="F60" s="3"/>
      <c r="G60" s="3"/>
      <c r="H60" s="35"/>
      <c r="I60" s="61"/>
      <c r="J60" s="300"/>
      <c r="K60" s="3"/>
      <c r="L60" s="3"/>
      <c r="M60" s="3"/>
      <c r="N60" s="3"/>
      <c r="O60" s="3"/>
      <c r="P60" s="3"/>
    </row>
    <row r="61" spans="1:16" x14ac:dyDescent="0.2">
      <c r="A61" s="300" t="s">
        <v>94</v>
      </c>
      <c r="B61" s="9"/>
      <c r="C61" s="9"/>
      <c r="D61" s="9"/>
      <c r="E61" s="9"/>
      <c r="F61" s="9"/>
      <c r="G61" s="9"/>
      <c r="H61" s="9"/>
      <c r="I61" s="97"/>
      <c r="J61" s="300"/>
      <c r="K61" s="9"/>
      <c r="L61" s="9"/>
      <c r="M61" s="9"/>
      <c r="N61" s="9"/>
      <c r="O61" s="9"/>
      <c r="P61" s="9"/>
    </row>
    <row r="62" spans="1:16" x14ac:dyDescent="0.2">
      <c r="A62" s="300" t="s">
        <v>95</v>
      </c>
      <c r="B62" s="9"/>
      <c r="C62" s="9"/>
      <c r="D62" s="9"/>
      <c r="E62" s="9"/>
      <c r="F62" s="9"/>
      <c r="G62" s="9"/>
      <c r="H62" s="9"/>
      <c r="I62" s="97"/>
      <c r="J62" s="300"/>
      <c r="K62" s="9"/>
      <c r="L62" s="9"/>
      <c r="M62" s="9"/>
      <c r="N62" s="9"/>
      <c r="O62" s="9"/>
      <c r="P62" s="9"/>
    </row>
    <row r="63" spans="1:16" x14ac:dyDescent="0.2">
      <c r="A63" s="300"/>
      <c r="B63" s="9"/>
      <c r="C63" s="9"/>
      <c r="D63" s="9"/>
      <c r="E63" s="9"/>
      <c r="F63" s="9"/>
      <c r="G63" s="9"/>
      <c r="H63" s="9"/>
      <c r="I63" s="97"/>
      <c r="J63" s="300"/>
      <c r="K63" s="9"/>
      <c r="L63" s="9"/>
      <c r="M63" s="9"/>
      <c r="N63" s="9"/>
      <c r="O63" s="9"/>
      <c r="P63" s="9"/>
    </row>
    <row r="64" spans="1:16" x14ac:dyDescent="0.2">
      <c r="A64" s="300"/>
      <c r="B64" s="9"/>
      <c r="C64" s="9"/>
      <c r="D64" s="9"/>
      <c r="E64" s="9"/>
      <c r="F64" s="9"/>
      <c r="G64" s="9"/>
      <c r="H64" s="9"/>
      <c r="I64" s="97"/>
      <c r="J64" s="300"/>
      <c r="K64" s="9"/>
      <c r="L64" s="9"/>
      <c r="M64" s="9"/>
      <c r="N64" s="9"/>
      <c r="O64" s="9"/>
      <c r="P64" s="9"/>
    </row>
    <row r="65" spans="1:17" x14ac:dyDescent="0.2">
      <c r="A65" s="42"/>
      <c r="B65" s="36"/>
      <c r="C65" s="36"/>
      <c r="D65" s="36"/>
      <c r="E65" s="36"/>
      <c r="F65" s="36"/>
      <c r="G65" s="36"/>
      <c r="H65" s="36"/>
      <c r="I65" s="315"/>
      <c r="J65" s="42"/>
      <c r="K65" s="36"/>
      <c r="L65" s="36"/>
      <c r="M65" s="36"/>
      <c r="N65" s="36"/>
      <c r="O65" s="36"/>
      <c r="P65" s="36"/>
    </row>
    <row r="66" spans="1:17" x14ac:dyDescent="0.2">
      <c r="A66" s="316" t="s">
        <v>96</v>
      </c>
      <c r="B66" s="476" t="s">
        <v>97</v>
      </c>
      <c r="C66" s="477"/>
      <c r="D66" s="477"/>
      <c r="E66" s="477"/>
      <c r="F66" s="477"/>
      <c r="G66" s="478"/>
      <c r="H66" s="26" t="s">
        <v>70</v>
      </c>
      <c r="I66" s="291" t="s">
        <v>71</v>
      </c>
      <c r="J66" s="316"/>
      <c r="K66" s="476"/>
      <c r="L66" s="477"/>
      <c r="M66" s="477"/>
      <c r="N66" s="477"/>
      <c r="O66" s="477"/>
      <c r="P66" s="478"/>
    </row>
    <row r="67" spans="1:17" x14ac:dyDescent="0.2">
      <c r="A67" s="296" t="s">
        <v>37</v>
      </c>
      <c r="B67" s="454" t="s">
        <v>98</v>
      </c>
      <c r="C67" s="454"/>
      <c r="D67" s="454"/>
      <c r="E67" s="454"/>
      <c r="F67" s="454"/>
      <c r="G67" s="454"/>
      <c r="H67" s="1">
        <v>0.2</v>
      </c>
      <c r="I67" s="82">
        <f t="shared" ref="I67:I74" si="0">H67*($I$45)</f>
        <v>304.95400000000001</v>
      </c>
      <c r="J67" s="296"/>
      <c r="K67" s="454"/>
      <c r="L67" s="454"/>
      <c r="M67" s="454"/>
      <c r="N67" s="454"/>
      <c r="O67" s="454"/>
      <c r="P67" s="454"/>
    </row>
    <row r="68" spans="1:17" x14ac:dyDescent="0.2">
      <c r="A68" s="296" t="s">
        <v>39</v>
      </c>
      <c r="B68" s="454" t="s">
        <v>99</v>
      </c>
      <c r="C68" s="454"/>
      <c r="D68" s="454"/>
      <c r="E68" s="454"/>
      <c r="F68" s="454"/>
      <c r="G68" s="454"/>
      <c r="H68" s="1">
        <v>2.5000000000000001E-2</v>
      </c>
      <c r="I68" s="82">
        <f t="shared" si="0"/>
        <v>38.119250000000001</v>
      </c>
      <c r="J68" s="296"/>
      <c r="K68" s="454"/>
      <c r="L68" s="454"/>
      <c r="M68" s="454"/>
      <c r="N68" s="454"/>
      <c r="O68" s="454"/>
      <c r="P68" s="454"/>
    </row>
    <row r="69" spans="1:17" x14ac:dyDescent="0.2">
      <c r="A69" s="296" t="s">
        <v>41</v>
      </c>
      <c r="B69" s="454" t="s">
        <v>100</v>
      </c>
      <c r="C69" s="454"/>
      <c r="D69" s="454"/>
      <c r="E69" s="454"/>
      <c r="F69" s="454"/>
      <c r="G69" s="454"/>
      <c r="H69" s="1">
        <v>0.03</v>
      </c>
      <c r="I69" s="82">
        <f t="shared" si="0"/>
        <v>45.743099999999998</v>
      </c>
      <c r="J69" s="296"/>
      <c r="K69" s="454"/>
      <c r="L69" s="454"/>
      <c r="M69" s="454"/>
      <c r="N69" s="454"/>
      <c r="O69" s="454"/>
      <c r="P69" s="454"/>
      <c r="Q69" s="25"/>
    </row>
    <row r="70" spans="1:17" x14ac:dyDescent="0.2">
      <c r="A70" s="296" t="s">
        <v>44</v>
      </c>
      <c r="B70" s="454" t="s">
        <v>101</v>
      </c>
      <c r="C70" s="454"/>
      <c r="D70" s="454"/>
      <c r="E70" s="454"/>
      <c r="F70" s="454"/>
      <c r="G70" s="454"/>
      <c r="H70" s="1">
        <v>1.4999999999999999E-2</v>
      </c>
      <c r="I70" s="82">
        <f t="shared" si="0"/>
        <v>22.871549999999999</v>
      </c>
      <c r="J70" s="296"/>
      <c r="K70" s="454"/>
      <c r="L70" s="454"/>
      <c r="M70" s="454"/>
      <c r="N70" s="454"/>
      <c r="O70" s="454"/>
      <c r="P70" s="454"/>
    </row>
    <row r="71" spans="1:17" x14ac:dyDescent="0.2">
      <c r="A71" s="296" t="s">
        <v>76</v>
      </c>
      <c r="B71" s="454" t="s">
        <v>102</v>
      </c>
      <c r="C71" s="454"/>
      <c r="D71" s="454"/>
      <c r="E71" s="454"/>
      <c r="F71" s="454"/>
      <c r="G71" s="454"/>
      <c r="H71" s="1">
        <v>0.01</v>
      </c>
      <c r="I71" s="82">
        <f t="shared" si="0"/>
        <v>15.2477</v>
      </c>
      <c r="J71" s="296"/>
      <c r="K71" s="454"/>
      <c r="L71" s="454"/>
      <c r="M71" s="454"/>
      <c r="N71" s="454"/>
      <c r="O71" s="454"/>
      <c r="P71" s="454"/>
    </row>
    <row r="72" spans="1:17" x14ac:dyDescent="0.2">
      <c r="A72" s="296" t="s">
        <v>78</v>
      </c>
      <c r="B72" s="454" t="s">
        <v>103</v>
      </c>
      <c r="C72" s="454"/>
      <c r="D72" s="454"/>
      <c r="E72" s="454"/>
      <c r="F72" s="454"/>
      <c r="G72" s="454"/>
      <c r="H72" s="1">
        <v>6.0000000000000001E-3</v>
      </c>
      <c r="I72" s="82">
        <f t="shared" si="0"/>
        <v>9.1486199999999993</v>
      </c>
      <c r="J72" s="296"/>
      <c r="K72" s="454"/>
      <c r="L72" s="454"/>
      <c r="M72" s="454"/>
      <c r="N72" s="454"/>
      <c r="O72" s="454"/>
      <c r="P72" s="454"/>
    </row>
    <row r="73" spans="1:17" x14ac:dyDescent="0.2">
      <c r="A73" s="296" t="s">
        <v>104</v>
      </c>
      <c r="B73" s="454" t="s">
        <v>105</v>
      </c>
      <c r="C73" s="454"/>
      <c r="D73" s="454"/>
      <c r="E73" s="454"/>
      <c r="F73" s="454"/>
      <c r="G73" s="454"/>
      <c r="H73" s="1">
        <v>2E-3</v>
      </c>
      <c r="I73" s="82">
        <f t="shared" si="0"/>
        <v>3.0495399999999999</v>
      </c>
      <c r="J73" s="296"/>
      <c r="K73" s="454"/>
      <c r="L73" s="454"/>
      <c r="M73" s="454"/>
      <c r="N73" s="454"/>
      <c r="O73" s="454"/>
      <c r="P73" s="454"/>
    </row>
    <row r="74" spans="1:17" x14ac:dyDescent="0.2">
      <c r="A74" s="296" t="s">
        <v>106</v>
      </c>
      <c r="B74" s="454" t="s">
        <v>107</v>
      </c>
      <c r="C74" s="454"/>
      <c r="D74" s="454"/>
      <c r="E74" s="454"/>
      <c r="F74" s="454"/>
      <c r="G74" s="454"/>
      <c r="H74" s="1">
        <v>0.08</v>
      </c>
      <c r="I74" s="82">
        <f t="shared" si="0"/>
        <v>121.9816</v>
      </c>
      <c r="J74" s="296"/>
      <c r="K74" s="454"/>
      <c r="L74" s="454"/>
      <c r="M74" s="454"/>
      <c r="N74" s="454"/>
      <c r="O74" s="454"/>
      <c r="P74" s="454"/>
    </row>
    <row r="75" spans="1:17" x14ac:dyDescent="0.2">
      <c r="A75" s="456" t="s">
        <v>11</v>
      </c>
      <c r="B75" s="457"/>
      <c r="C75" s="457"/>
      <c r="D75" s="457"/>
      <c r="E75" s="457"/>
      <c r="F75" s="457"/>
      <c r="G75" s="457"/>
      <c r="H75" s="33">
        <f>SUM(H67:H74)</f>
        <v>0.36800000000000005</v>
      </c>
      <c r="I75" s="314">
        <f>SUM(I67:I74)</f>
        <v>561.11536000000001</v>
      </c>
      <c r="J75" s="456"/>
      <c r="K75" s="457"/>
      <c r="L75" s="457"/>
      <c r="M75" s="457"/>
      <c r="N75" s="457"/>
      <c r="O75" s="457"/>
      <c r="P75" s="457"/>
    </row>
    <row r="76" spans="1:17" x14ac:dyDescent="0.2">
      <c r="A76" s="312"/>
      <c r="B76" s="3"/>
      <c r="C76" s="3"/>
      <c r="D76" s="3"/>
      <c r="E76" s="3"/>
      <c r="F76" s="3"/>
      <c r="G76" s="3"/>
      <c r="H76" s="35"/>
      <c r="I76" s="61"/>
      <c r="J76" s="312"/>
      <c r="K76" s="3"/>
      <c r="L76" s="3"/>
      <c r="M76" s="3"/>
      <c r="N76" s="3"/>
      <c r="O76" s="3"/>
      <c r="P76" s="3"/>
    </row>
    <row r="77" spans="1:17" x14ac:dyDescent="0.2">
      <c r="A77" s="300" t="s">
        <v>108</v>
      </c>
      <c r="B77" s="3"/>
      <c r="C77" s="3"/>
      <c r="D77" s="3"/>
      <c r="E77" s="3"/>
      <c r="F77" s="3"/>
      <c r="G77" s="3"/>
      <c r="H77" s="35"/>
      <c r="I77" s="61"/>
      <c r="J77" s="300"/>
      <c r="K77" s="3"/>
      <c r="L77" s="3"/>
      <c r="M77" s="3"/>
      <c r="N77" s="3"/>
      <c r="O77" s="3"/>
      <c r="P77" s="3"/>
    </row>
    <row r="78" spans="1:17" x14ac:dyDescent="0.2">
      <c r="A78" s="300" t="s">
        <v>109</v>
      </c>
      <c r="B78" s="3"/>
      <c r="C78" s="3"/>
      <c r="D78" s="3"/>
      <c r="E78" s="3"/>
      <c r="F78" s="3"/>
      <c r="G78" s="3"/>
      <c r="H78" s="35"/>
      <c r="I78" s="61"/>
      <c r="J78" s="300"/>
      <c r="K78" s="3"/>
      <c r="L78" s="3"/>
      <c r="M78" s="3"/>
      <c r="N78" s="3"/>
      <c r="O78" s="3"/>
      <c r="P78" s="3"/>
    </row>
    <row r="79" spans="1:17" x14ac:dyDescent="0.2">
      <c r="A79" s="300" t="s">
        <v>110</v>
      </c>
      <c r="B79" s="3"/>
      <c r="C79" s="3"/>
      <c r="D79" s="3"/>
      <c r="E79" s="3"/>
      <c r="F79" s="3"/>
      <c r="G79" s="3"/>
      <c r="H79" s="35"/>
      <c r="I79" s="61"/>
      <c r="J79" s="300"/>
      <c r="K79" s="3"/>
      <c r="L79" s="3"/>
      <c r="M79" s="3"/>
      <c r="N79" s="3"/>
      <c r="O79" s="3"/>
      <c r="P79" s="3"/>
    </row>
    <row r="80" spans="1:17" x14ac:dyDescent="0.2">
      <c r="A80" s="300" t="s">
        <v>111</v>
      </c>
      <c r="B80" s="3"/>
      <c r="C80" s="3"/>
      <c r="D80" s="3"/>
      <c r="E80" s="3"/>
      <c r="F80" s="3"/>
      <c r="G80" s="3"/>
      <c r="H80" s="35"/>
      <c r="I80" s="61"/>
      <c r="J80" s="300"/>
      <c r="K80" s="3"/>
      <c r="L80" s="3"/>
      <c r="M80" s="3"/>
      <c r="N80" s="3"/>
      <c r="O80" s="3"/>
      <c r="P80" s="3"/>
    </row>
    <row r="81" spans="1:17" x14ac:dyDescent="0.2">
      <c r="A81" s="300" t="s">
        <v>112</v>
      </c>
      <c r="B81" s="3"/>
      <c r="C81" s="3"/>
      <c r="D81" s="3"/>
      <c r="E81" s="3"/>
      <c r="F81" s="3"/>
      <c r="G81" s="3"/>
      <c r="H81" s="35"/>
      <c r="I81" s="61"/>
      <c r="J81" s="300"/>
      <c r="K81" s="3"/>
      <c r="L81" s="3"/>
      <c r="M81" s="3"/>
      <c r="N81" s="3"/>
      <c r="O81" s="3"/>
      <c r="P81" s="3"/>
    </row>
    <row r="82" spans="1:17" x14ac:dyDescent="0.2">
      <c r="A82" s="59"/>
      <c r="B82" s="9"/>
      <c r="C82" s="9"/>
      <c r="D82" s="9"/>
      <c r="E82" s="9"/>
      <c r="F82" s="9"/>
      <c r="G82" s="9"/>
      <c r="H82" s="9"/>
      <c r="I82" s="97"/>
      <c r="J82" s="59"/>
      <c r="K82" s="9"/>
      <c r="L82" s="9"/>
      <c r="M82" s="9"/>
      <c r="N82" s="9"/>
      <c r="O82" s="9"/>
      <c r="P82" s="9"/>
    </row>
    <row r="83" spans="1:17" x14ac:dyDescent="0.2">
      <c r="A83" s="316" t="s">
        <v>113</v>
      </c>
      <c r="B83" s="483" t="s">
        <v>114</v>
      </c>
      <c r="C83" s="484"/>
      <c r="D83" s="484"/>
      <c r="E83" s="484"/>
      <c r="F83" s="484"/>
      <c r="G83" s="485"/>
      <c r="H83" s="33"/>
      <c r="I83" s="291" t="s">
        <v>71</v>
      </c>
      <c r="J83" s="316"/>
      <c r="K83" s="483"/>
      <c r="L83" s="484"/>
      <c r="M83" s="484"/>
      <c r="N83" s="484"/>
      <c r="O83" s="484"/>
      <c r="P83" s="485"/>
    </row>
    <row r="84" spans="1:17" ht="14.1" customHeight="1" x14ac:dyDescent="0.2">
      <c r="A84" s="296" t="s">
        <v>37</v>
      </c>
      <c r="B84" s="480" t="s">
        <v>115</v>
      </c>
      <c r="C84" s="480"/>
      <c r="D84" s="480"/>
      <c r="E84" s="480"/>
      <c r="F84" s="480"/>
      <c r="G84" s="480"/>
      <c r="H84" s="21" t="s">
        <v>116</v>
      </c>
      <c r="I84" s="317">
        <f>'Mód2.3 '!E12</f>
        <v>124.11380000000003</v>
      </c>
      <c r="J84" s="296"/>
      <c r="K84" s="480"/>
      <c r="L84" s="480"/>
      <c r="M84" s="480"/>
      <c r="N84" s="480"/>
      <c r="O84" s="480"/>
      <c r="P84" s="480"/>
    </row>
    <row r="85" spans="1:17" x14ac:dyDescent="0.2">
      <c r="A85" s="296" t="s">
        <v>39</v>
      </c>
      <c r="B85" s="480" t="s">
        <v>117</v>
      </c>
      <c r="C85" s="480"/>
      <c r="D85" s="480"/>
      <c r="E85" s="480"/>
      <c r="F85" s="480"/>
      <c r="G85" s="480"/>
      <c r="H85" s="21" t="s">
        <v>116</v>
      </c>
      <c r="I85" s="317">
        <f>'Mód2.3 '!E25</f>
        <v>540</v>
      </c>
      <c r="J85" s="296"/>
      <c r="K85" s="480"/>
      <c r="L85" s="480"/>
      <c r="M85" s="480"/>
      <c r="N85" s="480"/>
      <c r="O85" s="480"/>
      <c r="P85" s="480"/>
    </row>
    <row r="86" spans="1:17" x14ac:dyDescent="0.2">
      <c r="A86" s="296" t="s">
        <v>41</v>
      </c>
      <c r="B86" s="480" t="s">
        <v>118</v>
      </c>
      <c r="C86" s="480"/>
      <c r="D86" s="480"/>
      <c r="E86" s="480"/>
      <c r="F86" s="480"/>
      <c r="G86" s="480"/>
      <c r="H86" s="21" t="s">
        <v>116</v>
      </c>
      <c r="I86" s="317">
        <f>'Mód2.3 '!E33</f>
        <v>0</v>
      </c>
      <c r="J86" s="296"/>
      <c r="K86" s="480"/>
      <c r="L86" s="480"/>
      <c r="M86" s="480"/>
      <c r="N86" s="480"/>
      <c r="O86" s="480"/>
      <c r="P86" s="480"/>
    </row>
    <row r="87" spans="1:17" ht="15" customHeight="1" x14ac:dyDescent="0.2">
      <c r="A87" s="313" t="s">
        <v>44</v>
      </c>
      <c r="B87" s="481" t="s">
        <v>119</v>
      </c>
      <c r="C87" s="480"/>
      <c r="D87" s="480"/>
      <c r="E87" s="480"/>
      <c r="F87" s="480"/>
      <c r="G87" s="480"/>
      <c r="H87" s="28" t="s">
        <v>116</v>
      </c>
      <c r="I87" s="318">
        <f>'Mód2.3 '!E42</f>
        <v>22</v>
      </c>
      <c r="J87" s="313"/>
      <c r="K87" s="482"/>
      <c r="L87" s="482"/>
      <c r="M87" s="482"/>
      <c r="N87" s="482"/>
      <c r="O87" s="482"/>
      <c r="P87" s="482"/>
    </row>
    <row r="88" spans="1:17" x14ac:dyDescent="0.2">
      <c r="A88" s="296" t="s">
        <v>76</v>
      </c>
      <c r="B88" s="480" t="s">
        <v>120</v>
      </c>
      <c r="C88" s="480"/>
      <c r="D88" s="480"/>
      <c r="E88" s="480"/>
      <c r="F88" s="480"/>
      <c r="G88" s="480"/>
      <c r="H88" s="21" t="s">
        <v>116</v>
      </c>
      <c r="I88" s="317">
        <f>'Mód2.3 '!E52</f>
        <v>0</v>
      </c>
      <c r="J88" s="296"/>
      <c r="K88" s="480"/>
      <c r="L88" s="480"/>
      <c r="M88" s="480"/>
      <c r="N88" s="480"/>
      <c r="O88" s="480"/>
      <c r="P88" s="480"/>
      <c r="Q88" s="25" t="s">
        <v>121</v>
      </c>
    </row>
    <row r="89" spans="1:17" x14ac:dyDescent="0.2">
      <c r="A89" s="296"/>
      <c r="B89" s="481"/>
      <c r="C89" s="480"/>
      <c r="D89" s="480"/>
      <c r="E89" s="480"/>
      <c r="F89" s="480"/>
      <c r="G89" s="480"/>
      <c r="H89" s="21"/>
      <c r="I89" s="317"/>
      <c r="J89" s="296"/>
      <c r="K89" s="480"/>
      <c r="L89" s="480"/>
      <c r="M89" s="480"/>
      <c r="N89" s="480"/>
      <c r="O89" s="480"/>
      <c r="P89" s="480"/>
    </row>
    <row r="90" spans="1:17" x14ac:dyDescent="0.2">
      <c r="A90" s="456" t="s">
        <v>122</v>
      </c>
      <c r="B90" s="457"/>
      <c r="C90" s="457"/>
      <c r="D90" s="457"/>
      <c r="E90" s="457"/>
      <c r="F90" s="457"/>
      <c r="G90" s="457"/>
      <c r="H90" s="457"/>
      <c r="I90" s="314">
        <f>SUM(I84:I89)</f>
        <v>686.11380000000008</v>
      </c>
      <c r="J90" s="456"/>
      <c r="K90" s="457"/>
      <c r="L90" s="457"/>
      <c r="M90" s="457"/>
      <c r="N90" s="457"/>
      <c r="O90" s="457"/>
      <c r="P90" s="457"/>
    </row>
    <row r="91" spans="1:17" x14ac:dyDescent="0.2">
      <c r="A91" s="312"/>
      <c r="B91" s="3"/>
      <c r="C91" s="3"/>
      <c r="D91" s="3"/>
      <c r="E91" s="3"/>
      <c r="F91" s="3"/>
      <c r="G91" s="3"/>
      <c r="H91" s="3"/>
      <c r="I91" s="61"/>
      <c r="J91" s="312"/>
      <c r="K91" s="3"/>
      <c r="L91" s="3"/>
      <c r="M91" s="3"/>
      <c r="N91" s="3"/>
      <c r="O91" s="3"/>
      <c r="P91" s="3"/>
    </row>
    <row r="92" spans="1:17" x14ac:dyDescent="0.2">
      <c r="A92" s="300" t="s">
        <v>123</v>
      </c>
      <c r="B92" s="3"/>
      <c r="C92" s="3"/>
      <c r="D92" s="3"/>
      <c r="E92" s="3"/>
      <c r="F92" s="3"/>
      <c r="G92" s="3"/>
      <c r="H92" s="3"/>
      <c r="I92" s="61"/>
      <c r="J92" s="300"/>
      <c r="K92" s="3"/>
      <c r="L92" s="3"/>
      <c r="M92" s="3"/>
      <c r="N92" s="3"/>
      <c r="O92" s="3"/>
      <c r="P92" s="3"/>
    </row>
    <row r="93" spans="1:17" x14ac:dyDescent="0.2">
      <c r="A93" s="300" t="s">
        <v>124</v>
      </c>
      <c r="B93" s="3"/>
      <c r="C93" s="3"/>
      <c r="D93" s="3"/>
      <c r="E93" s="3"/>
      <c r="F93" s="3"/>
      <c r="G93" s="3"/>
      <c r="H93" s="3"/>
      <c r="I93" s="61"/>
      <c r="J93" s="300"/>
      <c r="K93" s="3"/>
      <c r="L93" s="3"/>
      <c r="M93" s="3"/>
      <c r="N93" s="3"/>
      <c r="O93" s="3"/>
      <c r="P93" s="3"/>
    </row>
    <row r="94" spans="1:17" x14ac:dyDescent="0.2">
      <c r="A94" s="300" t="s">
        <v>125</v>
      </c>
      <c r="B94" s="3"/>
      <c r="C94" s="3"/>
      <c r="D94" s="3"/>
      <c r="E94" s="3"/>
      <c r="F94" s="3"/>
      <c r="G94" s="3"/>
      <c r="H94" s="3"/>
      <c r="I94" s="61"/>
      <c r="J94" s="300"/>
      <c r="K94" s="3"/>
      <c r="L94" s="3"/>
      <c r="M94" s="3"/>
      <c r="N94" s="3"/>
      <c r="O94" s="3"/>
      <c r="P94" s="3"/>
    </row>
    <row r="95" spans="1:17" x14ac:dyDescent="0.2">
      <c r="A95" s="300" t="s">
        <v>126</v>
      </c>
      <c r="B95" s="3"/>
      <c r="C95" s="3"/>
      <c r="D95" s="3"/>
      <c r="E95" s="3"/>
      <c r="F95" s="3"/>
      <c r="G95" s="3"/>
      <c r="H95" s="3"/>
      <c r="I95" s="61"/>
      <c r="J95" s="300"/>
      <c r="K95" s="3"/>
      <c r="L95" s="3"/>
      <c r="M95" s="3"/>
      <c r="N95" s="3"/>
      <c r="O95" s="3"/>
      <c r="P95" s="3"/>
    </row>
    <row r="96" spans="1:17" x14ac:dyDescent="0.2">
      <c r="A96" s="59"/>
      <c r="B96" s="9"/>
      <c r="C96" s="9"/>
      <c r="D96" s="9"/>
      <c r="E96" s="9"/>
      <c r="F96" s="9"/>
      <c r="G96" s="9"/>
      <c r="H96" s="9"/>
      <c r="I96" s="97"/>
      <c r="J96" s="59"/>
      <c r="K96" s="9"/>
      <c r="L96" s="9"/>
      <c r="M96" s="9"/>
      <c r="N96" s="9"/>
      <c r="O96" s="9"/>
      <c r="P96" s="9"/>
    </row>
    <row r="97" spans="1:16" x14ac:dyDescent="0.2">
      <c r="A97" s="316">
        <v>2</v>
      </c>
      <c r="B97" s="39" t="s">
        <v>127</v>
      </c>
      <c r="C97" s="39"/>
      <c r="D97" s="39"/>
      <c r="E97" s="39"/>
      <c r="F97" s="39"/>
      <c r="G97" s="39"/>
      <c r="H97" s="39"/>
      <c r="I97" s="319"/>
      <c r="J97" s="316"/>
      <c r="K97" s="39"/>
      <c r="L97" s="39"/>
      <c r="M97" s="39"/>
      <c r="N97" s="39"/>
      <c r="O97" s="39"/>
      <c r="P97" s="39"/>
    </row>
    <row r="98" spans="1:16" x14ac:dyDescent="0.2">
      <c r="A98" s="464" t="s">
        <v>128</v>
      </c>
      <c r="B98" s="465"/>
      <c r="C98" s="465"/>
      <c r="D98" s="465"/>
      <c r="E98" s="465"/>
      <c r="F98" s="465"/>
      <c r="G98" s="465"/>
      <c r="H98" s="465"/>
      <c r="I98" s="297" t="s">
        <v>71</v>
      </c>
      <c r="J98" s="464"/>
      <c r="K98" s="465"/>
      <c r="L98" s="465"/>
      <c r="M98" s="465"/>
      <c r="N98" s="465"/>
      <c r="O98" s="465"/>
      <c r="P98" s="465"/>
    </row>
    <row r="99" spans="1:16" x14ac:dyDescent="0.2">
      <c r="A99" s="296" t="s">
        <v>84</v>
      </c>
      <c r="B99" s="486" t="s">
        <v>129</v>
      </c>
      <c r="C99" s="486"/>
      <c r="D99" s="486"/>
      <c r="E99" s="486"/>
      <c r="F99" s="486"/>
      <c r="G99" s="486"/>
      <c r="H99" s="486"/>
      <c r="I99" s="82">
        <f>I56</f>
        <v>426.19720471466667</v>
      </c>
      <c r="J99" s="296"/>
      <c r="K99" s="486"/>
      <c r="L99" s="486"/>
      <c r="M99" s="486"/>
      <c r="N99" s="486"/>
      <c r="O99" s="486"/>
      <c r="P99" s="486"/>
    </row>
    <row r="100" spans="1:16" x14ac:dyDescent="0.2">
      <c r="A100" s="296" t="s">
        <v>96</v>
      </c>
      <c r="B100" s="486" t="s">
        <v>130</v>
      </c>
      <c r="C100" s="486"/>
      <c r="D100" s="486"/>
      <c r="E100" s="486"/>
      <c r="F100" s="486"/>
      <c r="G100" s="486"/>
      <c r="H100" s="486"/>
      <c r="I100" s="82">
        <f>I75</f>
        <v>561.11536000000001</v>
      </c>
      <c r="J100" s="296"/>
      <c r="K100" s="486"/>
      <c r="L100" s="486"/>
      <c r="M100" s="486"/>
      <c r="N100" s="486"/>
      <c r="O100" s="486"/>
      <c r="P100" s="486"/>
    </row>
    <row r="101" spans="1:16" x14ac:dyDescent="0.2">
      <c r="A101" s="296" t="s">
        <v>113</v>
      </c>
      <c r="B101" s="486" t="s">
        <v>131</v>
      </c>
      <c r="C101" s="486"/>
      <c r="D101" s="486"/>
      <c r="E101" s="486"/>
      <c r="F101" s="486"/>
      <c r="G101" s="486"/>
      <c r="H101" s="486"/>
      <c r="I101" s="82">
        <f>I90</f>
        <v>686.11380000000008</v>
      </c>
      <c r="J101" s="296"/>
      <c r="K101" s="486"/>
      <c r="L101" s="486"/>
      <c r="M101" s="486"/>
      <c r="N101" s="486"/>
      <c r="O101" s="486"/>
      <c r="P101" s="486"/>
    </row>
    <row r="102" spans="1:16" x14ac:dyDescent="0.2">
      <c r="A102" s="475" t="s">
        <v>132</v>
      </c>
      <c r="B102" s="487"/>
      <c r="C102" s="487"/>
      <c r="D102" s="487"/>
      <c r="E102" s="487"/>
      <c r="F102" s="487"/>
      <c r="G102" s="487"/>
      <c r="H102" s="487"/>
      <c r="I102" s="320">
        <f>SUM(I99:I101)</f>
        <v>1673.4263647146668</v>
      </c>
      <c r="J102" s="475"/>
      <c r="K102" s="487"/>
      <c r="L102" s="487"/>
      <c r="M102" s="487"/>
      <c r="N102" s="487"/>
      <c r="O102" s="487"/>
      <c r="P102" s="487"/>
    </row>
    <row r="103" spans="1:16" x14ac:dyDescent="0.2">
      <c r="A103" s="488"/>
      <c r="B103" s="489"/>
      <c r="C103" s="489"/>
      <c r="D103" s="489"/>
      <c r="E103" s="489"/>
      <c r="F103" s="489"/>
      <c r="G103" s="489"/>
      <c r="H103" s="489"/>
      <c r="I103" s="490"/>
      <c r="J103" s="488"/>
      <c r="K103" s="489"/>
      <c r="L103" s="489"/>
      <c r="M103" s="489"/>
      <c r="N103" s="489"/>
      <c r="O103" s="489"/>
      <c r="P103" s="489"/>
    </row>
    <row r="104" spans="1:16" ht="13.5" customHeight="1" x14ac:dyDescent="0.2">
      <c r="A104" s="469" t="s">
        <v>133</v>
      </c>
      <c r="B104" s="470"/>
      <c r="C104" s="470"/>
      <c r="D104" s="470"/>
      <c r="E104" s="470"/>
      <c r="F104" s="470"/>
      <c r="G104" s="470"/>
      <c r="H104" s="470"/>
      <c r="I104" s="471"/>
      <c r="J104" s="469"/>
      <c r="K104" s="470"/>
      <c r="L104" s="470"/>
      <c r="M104" s="470"/>
      <c r="N104" s="470"/>
      <c r="O104" s="470"/>
      <c r="P104" s="470"/>
    </row>
    <row r="105" spans="1:16" ht="14.1" customHeight="1" x14ac:dyDescent="0.2">
      <c r="A105" s="296">
        <v>3</v>
      </c>
      <c r="B105" s="465" t="s">
        <v>134</v>
      </c>
      <c r="C105" s="465"/>
      <c r="D105" s="465"/>
      <c r="E105" s="465"/>
      <c r="F105" s="465"/>
      <c r="G105" s="465"/>
      <c r="H105" s="8" t="s">
        <v>70</v>
      </c>
      <c r="I105" s="297" t="s">
        <v>71</v>
      </c>
      <c r="J105" s="296"/>
      <c r="K105" s="465"/>
      <c r="L105" s="465"/>
      <c r="M105" s="465"/>
      <c r="N105" s="465"/>
      <c r="O105" s="465"/>
      <c r="P105" s="465"/>
    </row>
    <row r="106" spans="1:16" x14ac:dyDescent="0.2">
      <c r="A106" s="296" t="s">
        <v>37</v>
      </c>
      <c r="B106" s="454" t="s">
        <v>135</v>
      </c>
      <c r="C106" s="454"/>
      <c r="D106" s="454"/>
      <c r="E106" s="454"/>
      <c r="F106" s="454"/>
      <c r="G106" s="454"/>
      <c r="H106" s="1">
        <v>4.1999999999999997E-3</v>
      </c>
      <c r="I106" s="82">
        <f>H106*I45</f>
        <v>6.4040339999999993</v>
      </c>
      <c r="J106" s="296"/>
      <c r="K106" s="454"/>
      <c r="L106" s="454"/>
      <c r="M106" s="454"/>
      <c r="N106" s="454"/>
      <c r="O106" s="454"/>
      <c r="P106" s="454"/>
    </row>
    <row r="107" spans="1:16" x14ac:dyDescent="0.2">
      <c r="A107" s="313" t="s">
        <v>39</v>
      </c>
      <c r="B107" s="479" t="s">
        <v>136</v>
      </c>
      <c r="C107" s="479"/>
      <c r="D107" s="479"/>
      <c r="E107" s="479"/>
      <c r="F107" s="479"/>
      <c r="G107" s="479"/>
      <c r="H107" s="149">
        <f>H74</f>
        <v>0.08</v>
      </c>
      <c r="I107" s="83">
        <f>I106*H107</f>
        <v>0.51232272000000001</v>
      </c>
      <c r="J107" s="313"/>
      <c r="K107" s="479"/>
      <c r="L107" s="479"/>
      <c r="M107" s="479"/>
      <c r="N107" s="479"/>
      <c r="O107" s="479"/>
      <c r="P107" s="479"/>
    </row>
    <row r="108" spans="1:16" ht="24.75" customHeight="1" x14ac:dyDescent="0.2">
      <c r="A108" s="313" t="s">
        <v>41</v>
      </c>
      <c r="B108" s="479" t="s">
        <v>137</v>
      </c>
      <c r="C108" s="479"/>
      <c r="D108" s="479"/>
      <c r="E108" s="479"/>
      <c r="F108" s="479"/>
      <c r="G108" s="479"/>
      <c r="H108" s="149">
        <v>2E-3</v>
      </c>
      <c r="I108" s="83">
        <f>H108*I45</f>
        <v>3.0495399999999999</v>
      </c>
      <c r="J108" s="313"/>
      <c r="K108" s="479"/>
      <c r="L108" s="479"/>
      <c r="M108" s="479"/>
      <c r="N108" s="479"/>
      <c r="O108" s="479"/>
      <c r="P108" s="479"/>
    </row>
    <row r="109" spans="1:16" x14ac:dyDescent="0.2">
      <c r="A109" s="296" t="s">
        <v>44</v>
      </c>
      <c r="B109" s="454" t="s">
        <v>138</v>
      </c>
      <c r="C109" s="454"/>
      <c r="D109" s="454"/>
      <c r="E109" s="454"/>
      <c r="F109" s="454"/>
      <c r="G109" s="454"/>
      <c r="H109" s="1">
        <v>1.9400000000000001E-2</v>
      </c>
      <c r="I109" s="82">
        <f>H109*I45</f>
        <v>29.580538000000001</v>
      </c>
      <c r="J109" s="296"/>
      <c r="K109" s="454"/>
      <c r="L109" s="454"/>
      <c r="M109" s="454"/>
      <c r="N109" s="454"/>
      <c r="O109" s="454"/>
      <c r="P109" s="454"/>
    </row>
    <row r="110" spans="1:16" x14ac:dyDescent="0.2">
      <c r="A110" s="296" t="s">
        <v>76</v>
      </c>
      <c r="B110" s="491" t="s">
        <v>139</v>
      </c>
      <c r="C110" s="491"/>
      <c r="D110" s="491"/>
      <c r="E110" s="491"/>
      <c r="F110" s="491"/>
      <c r="G110" s="491"/>
      <c r="H110" s="22">
        <f>H75</f>
        <v>0.36800000000000005</v>
      </c>
      <c r="I110" s="82">
        <f>I109*H110</f>
        <v>10.885637984000002</v>
      </c>
      <c r="J110" s="296"/>
      <c r="K110" s="491"/>
      <c r="L110" s="491"/>
      <c r="M110" s="491"/>
      <c r="N110" s="491"/>
      <c r="O110" s="491"/>
      <c r="P110" s="491"/>
    </row>
    <row r="111" spans="1:16" ht="25.5" customHeight="1" x14ac:dyDescent="0.2">
      <c r="A111" s="313" t="s">
        <v>78</v>
      </c>
      <c r="B111" s="479" t="s">
        <v>140</v>
      </c>
      <c r="C111" s="479"/>
      <c r="D111" s="479"/>
      <c r="E111" s="479"/>
      <c r="F111" s="479"/>
      <c r="G111" s="479"/>
      <c r="H111" s="149">
        <v>3.7999999999999999E-2</v>
      </c>
      <c r="I111" s="83">
        <f>H111*I45</f>
        <v>57.94126</v>
      </c>
      <c r="J111" s="313"/>
      <c r="K111" s="479"/>
      <c r="L111" s="479"/>
      <c r="M111" s="479"/>
      <c r="N111" s="479"/>
      <c r="O111" s="479"/>
      <c r="P111" s="479"/>
    </row>
    <row r="112" spans="1:16" x14ac:dyDescent="0.2">
      <c r="A112" s="475" t="s">
        <v>141</v>
      </c>
      <c r="B112" s="487"/>
      <c r="C112" s="487"/>
      <c r="D112" s="487"/>
      <c r="E112" s="487"/>
      <c r="F112" s="487"/>
      <c r="G112" s="487"/>
      <c r="H112" s="33"/>
      <c r="I112" s="320">
        <f>SUM(I106:I111)</f>
        <v>108.37333270400001</v>
      </c>
      <c r="J112" s="475"/>
      <c r="K112" s="487"/>
      <c r="L112" s="487"/>
      <c r="M112" s="487"/>
      <c r="N112" s="487"/>
      <c r="O112" s="487"/>
      <c r="P112" s="487"/>
    </row>
    <row r="113" spans="1:17" x14ac:dyDescent="0.2">
      <c r="A113" s="492"/>
      <c r="B113" s="493"/>
      <c r="C113" s="493"/>
      <c r="D113" s="493"/>
      <c r="E113" s="493"/>
      <c r="F113" s="493"/>
      <c r="G113" s="493"/>
      <c r="H113" s="493"/>
      <c r="I113" s="494"/>
      <c r="J113" s="492"/>
      <c r="K113" s="493"/>
      <c r="L113" s="493"/>
      <c r="M113" s="493"/>
      <c r="N113" s="493"/>
      <c r="O113" s="493"/>
      <c r="P113" s="493"/>
    </row>
    <row r="114" spans="1:17" x14ac:dyDescent="0.2">
      <c r="A114" s="469" t="s">
        <v>142</v>
      </c>
      <c r="B114" s="470"/>
      <c r="C114" s="470"/>
      <c r="D114" s="470"/>
      <c r="E114" s="470"/>
      <c r="F114" s="470"/>
      <c r="G114" s="470"/>
      <c r="H114" s="470"/>
      <c r="I114" s="471"/>
      <c r="J114" s="469"/>
      <c r="K114" s="470"/>
      <c r="L114" s="470"/>
      <c r="M114" s="470"/>
      <c r="N114" s="470"/>
      <c r="O114" s="470"/>
      <c r="P114" s="470"/>
    </row>
    <row r="115" spans="1:17" x14ac:dyDescent="0.2">
      <c r="A115" s="312"/>
      <c r="B115" s="3"/>
      <c r="C115" s="3"/>
      <c r="D115" s="3"/>
      <c r="E115" s="3"/>
      <c r="F115" s="3"/>
      <c r="G115" s="3"/>
      <c r="H115" s="3"/>
      <c r="I115" s="321"/>
      <c r="J115" s="312"/>
      <c r="K115" s="3"/>
      <c r="L115" s="3"/>
      <c r="M115" s="3"/>
      <c r="N115" s="3"/>
      <c r="O115" s="3"/>
      <c r="P115" s="3"/>
    </row>
    <row r="116" spans="1:17" x14ac:dyDescent="0.2">
      <c r="A116" s="300" t="s">
        <v>143</v>
      </c>
      <c r="B116" s="3"/>
      <c r="C116" s="3"/>
      <c r="D116" s="3"/>
      <c r="E116" s="3"/>
      <c r="F116" s="3"/>
      <c r="G116" s="3"/>
      <c r="H116" s="3"/>
      <c r="I116" s="321"/>
      <c r="J116" s="300"/>
      <c r="K116" s="3"/>
      <c r="L116" s="3"/>
      <c r="M116" s="3"/>
      <c r="N116" s="3"/>
      <c r="O116" s="3"/>
      <c r="P116" s="3"/>
    </row>
    <row r="117" spans="1:17" x14ac:dyDescent="0.2">
      <c r="A117" s="300" t="s">
        <v>144</v>
      </c>
      <c r="B117" s="3"/>
      <c r="C117" s="3"/>
      <c r="D117" s="3"/>
      <c r="E117" s="3"/>
      <c r="F117" s="3"/>
      <c r="G117" s="3"/>
      <c r="H117" s="3"/>
      <c r="I117" s="321"/>
      <c r="J117" s="300"/>
      <c r="K117" s="3"/>
      <c r="L117" s="3"/>
      <c r="M117" s="3"/>
      <c r="N117" s="3"/>
      <c r="O117" s="3"/>
      <c r="P117" s="3"/>
    </row>
    <row r="118" spans="1:17" x14ac:dyDescent="0.2">
      <c r="A118" s="312"/>
      <c r="B118" s="3"/>
      <c r="C118" s="3"/>
      <c r="D118" s="3"/>
      <c r="E118" s="3"/>
      <c r="F118" s="3"/>
      <c r="G118" s="3"/>
      <c r="H118" s="3"/>
      <c r="I118" s="321"/>
      <c r="J118" s="312"/>
      <c r="K118" s="3"/>
      <c r="L118" s="3"/>
      <c r="M118" s="3"/>
      <c r="N118" s="3"/>
      <c r="O118" s="3"/>
      <c r="P118" s="3"/>
    </row>
    <row r="119" spans="1:17" x14ac:dyDescent="0.2">
      <c r="A119" s="316" t="s">
        <v>145</v>
      </c>
      <c r="B119" s="457" t="s">
        <v>146</v>
      </c>
      <c r="C119" s="457"/>
      <c r="D119" s="457"/>
      <c r="E119" s="457"/>
      <c r="F119" s="457"/>
      <c r="G119" s="457"/>
      <c r="H119" s="26" t="s">
        <v>70</v>
      </c>
      <c r="I119" s="291" t="s">
        <v>71</v>
      </c>
      <c r="J119" s="316"/>
      <c r="K119" s="457"/>
      <c r="L119" s="457"/>
      <c r="M119" s="457"/>
      <c r="N119" s="457"/>
      <c r="O119" s="457"/>
      <c r="P119" s="457"/>
    </row>
    <row r="120" spans="1:17" ht="14.1" customHeight="1" x14ac:dyDescent="0.2">
      <c r="A120" s="316" t="s">
        <v>37</v>
      </c>
      <c r="B120" s="454" t="s">
        <v>147</v>
      </c>
      <c r="C120" s="454"/>
      <c r="D120" s="454"/>
      <c r="E120" s="454"/>
      <c r="F120" s="454"/>
      <c r="G120" s="454"/>
      <c r="H120" s="34"/>
      <c r="I120" s="314"/>
      <c r="J120" s="316"/>
      <c r="K120" s="454"/>
      <c r="L120" s="454"/>
      <c r="M120" s="454"/>
      <c r="N120" s="454"/>
      <c r="O120" s="454"/>
      <c r="P120" s="454"/>
    </row>
    <row r="121" spans="1:17" x14ac:dyDescent="0.2">
      <c r="A121" s="296" t="s">
        <v>39</v>
      </c>
      <c r="B121" s="454" t="s">
        <v>148</v>
      </c>
      <c r="C121" s="454"/>
      <c r="D121" s="454"/>
      <c r="E121" s="454"/>
      <c r="F121" s="454"/>
      <c r="G121" s="454"/>
      <c r="H121" s="157">
        <v>1.67E-2</v>
      </c>
      <c r="I121" s="82">
        <f>H121*$I$45</f>
        <v>25.463659</v>
      </c>
      <c r="J121" s="296"/>
      <c r="K121" s="454"/>
      <c r="L121" s="454"/>
      <c r="M121" s="454"/>
      <c r="N121" s="454"/>
      <c r="O121" s="454"/>
      <c r="P121" s="454"/>
      <c r="Q121" s="25"/>
    </row>
    <row r="122" spans="1:17" x14ac:dyDescent="0.2">
      <c r="A122" s="296" t="s">
        <v>41</v>
      </c>
      <c r="B122" s="454" t="s">
        <v>149</v>
      </c>
      <c r="C122" s="454"/>
      <c r="D122" s="454"/>
      <c r="E122" s="454"/>
      <c r="F122" s="454"/>
      <c r="G122" s="454"/>
      <c r="H122" s="157">
        <v>2.0000000000000001E-4</v>
      </c>
      <c r="I122" s="82">
        <f>H122*$I$45</f>
        <v>0.304954</v>
      </c>
      <c r="J122" s="296"/>
      <c r="K122" s="454"/>
      <c r="L122" s="454"/>
      <c r="M122" s="454"/>
      <c r="N122" s="454"/>
      <c r="O122" s="454"/>
      <c r="P122" s="454"/>
      <c r="Q122" s="25"/>
    </row>
    <row r="123" spans="1:17" x14ac:dyDescent="0.2">
      <c r="A123" s="313" t="s">
        <v>44</v>
      </c>
      <c r="B123" s="479" t="s">
        <v>150</v>
      </c>
      <c r="C123" s="479"/>
      <c r="D123" s="479"/>
      <c r="E123" s="479"/>
      <c r="F123" s="479"/>
      <c r="G123" s="479"/>
      <c r="H123" s="149">
        <v>6.9999999999999999E-4</v>
      </c>
      <c r="I123" s="83">
        <f>H123*$I$45</f>
        <v>1.067339</v>
      </c>
      <c r="J123" s="313"/>
      <c r="K123" s="479"/>
      <c r="L123" s="479"/>
      <c r="M123" s="479"/>
      <c r="N123" s="479"/>
      <c r="O123" s="479"/>
      <c r="P123" s="479"/>
      <c r="Q123" s="25"/>
    </row>
    <row r="124" spans="1:17" x14ac:dyDescent="0.2">
      <c r="A124" s="296" t="s">
        <v>76</v>
      </c>
      <c r="B124" s="454" t="s">
        <v>151</v>
      </c>
      <c r="C124" s="454"/>
      <c r="D124" s="454"/>
      <c r="E124" s="454"/>
      <c r="F124" s="454"/>
      <c r="G124" s="454"/>
      <c r="H124" s="157">
        <v>2.8999999999999998E-3</v>
      </c>
      <c r="I124" s="82">
        <f>H124*$I$45</f>
        <v>4.4218329999999995</v>
      </c>
      <c r="J124" s="296"/>
      <c r="K124" s="454"/>
      <c r="L124" s="454"/>
      <c r="M124" s="454"/>
      <c r="N124" s="454"/>
      <c r="O124" s="454"/>
      <c r="P124" s="454"/>
      <c r="Q124" s="25"/>
    </row>
    <row r="125" spans="1:17" x14ac:dyDescent="0.2">
      <c r="A125" s="296" t="s">
        <v>78</v>
      </c>
      <c r="B125" s="454" t="s">
        <v>152</v>
      </c>
      <c r="C125" s="454"/>
      <c r="D125" s="454"/>
      <c r="E125" s="454"/>
      <c r="F125" s="454"/>
      <c r="G125" s="454"/>
      <c r="H125" s="157"/>
      <c r="I125" s="82">
        <f t="shared" ref="I125" si="1">H125*$I$45</f>
        <v>0</v>
      </c>
      <c r="J125" s="296"/>
      <c r="K125" s="454"/>
      <c r="L125" s="454"/>
      <c r="M125" s="454"/>
      <c r="N125" s="454"/>
      <c r="O125" s="454"/>
      <c r="P125" s="454"/>
      <c r="Q125" s="25"/>
    </row>
    <row r="126" spans="1:17" x14ac:dyDescent="0.2">
      <c r="A126" s="456" t="s">
        <v>153</v>
      </c>
      <c r="B126" s="457"/>
      <c r="C126" s="457"/>
      <c r="D126" s="457"/>
      <c r="E126" s="457"/>
      <c r="F126" s="457"/>
      <c r="G126" s="457"/>
      <c r="H126" s="33"/>
      <c r="I126" s="314">
        <f>SUM(I121:I125)</f>
        <v>31.257784999999998</v>
      </c>
      <c r="J126" s="456"/>
      <c r="K126" s="457"/>
      <c r="L126" s="457"/>
      <c r="M126" s="457"/>
      <c r="N126" s="457"/>
      <c r="O126" s="457"/>
      <c r="P126" s="457"/>
      <c r="Q126" s="25"/>
    </row>
    <row r="127" spans="1:17" x14ac:dyDescent="0.2">
      <c r="A127" s="296" t="s">
        <v>78</v>
      </c>
      <c r="B127" s="454" t="s">
        <v>154</v>
      </c>
      <c r="C127" s="454"/>
      <c r="D127" s="454"/>
      <c r="E127" s="454"/>
      <c r="F127" s="454"/>
      <c r="G127" s="454"/>
      <c r="H127" s="1">
        <f>H75</f>
        <v>0.36800000000000005</v>
      </c>
      <c r="I127" s="82">
        <f>I126*H127</f>
        <v>11.502864880000001</v>
      </c>
      <c r="J127" s="296"/>
      <c r="K127" s="454"/>
      <c r="L127" s="454"/>
      <c r="M127" s="454"/>
      <c r="N127" s="454"/>
      <c r="O127" s="454"/>
      <c r="P127" s="454"/>
    </row>
    <row r="128" spans="1:17" x14ac:dyDescent="0.2">
      <c r="A128" s="456" t="s">
        <v>155</v>
      </c>
      <c r="B128" s="457"/>
      <c r="C128" s="457"/>
      <c r="D128" s="457"/>
      <c r="E128" s="457"/>
      <c r="F128" s="457"/>
      <c r="G128" s="457"/>
      <c r="H128" s="33"/>
      <c r="I128" s="314">
        <f>SUM(I126:I127)</f>
        <v>42.760649880000003</v>
      </c>
      <c r="J128" s="456"/>
      <c r="K128" s="457"/>
      <c r="L128" s="457"/>
      <c r="M128" s="457"/>
      <c r="N128" s="457"/>
      <c r="O128" s="457"/>
      <c r="P128" s="457"/>
    </row>
    <row r="129" spans="1:16" x14ac:dyDescent="0.2">
      <c r="A129" s="312"/>
      <c r="B129" s="3"/>
      <c r="C129" s="3"/>
      <c r="D129" s="3"/>
      <c r="E129" s="3"/>
      <c r="F129" s="3"/>
      <c r="G129" s="3"/>
      <c r="H129" s="3"/>
      <c r="I129" s="321"/>
      <c r="J129" s="312"/>
      <c r="K129" s="3"/>
      <c r="L129" s="3"/>
      <c r="M129" s="3"/>
      <c r="N129" s="3"/>
      <c r="O129" s="3"/>
      <c r="P129" s="3"/>
    </row>
    <row r="130" spans="1:16" x14ac:dyDescent="0.2">
      <c r="A130" s="316" t="s">
        <v>156</v>
      </c>
      <c r="B130" s="483" t="s">
        <v>157</v>
      </c>
      <c r="C130" s="484"/>
      <c r="D130" s="484"/>
      <c r="E130" s="484"/>
      <c r="F130" s="484"/>
      <c r="G130" s="485"/>
      <c r="H130" s="26" t="s">
        <v>70</v>
      </c>
      <c r="I130" s="291" t="s">
        <v>71</v>
      </c>
      <c r="J130" s="316"/>
      <c r="K130" s="483"/>
      <c r="L130" s="484"/>
      <c r="M130" s="484"/>
      <c r="N130" s="484"/>
      <c r="O130" s="484"/>
      <c r="P130" s="485"/>
    </row>
    <row r="131" spans="1:16" x14ac:dyDescent="0.2">
      <c r="A131" s="296" t="s">
        <v>37</v>
      </c>
      <c r="B131" s="501" t="s">
        <v>158</v>
      </c>
      <c r="C131" s="502"/>
      <c r="D131" s="502"/>
      <c r="E131" s="502"/>
      <c r="F131" s="502"/>
      <c r="G131" s="503"/>
      <c r="H131" s="157">
        <v>0</v>
      </c>
      <c r="I131" s="82">
        <v>0</v>
      </c>
      <c r="J131" s="296"/>
      <c r="K131" s="501"/>
      <c r="L131" s="502"/>
      <c r="M131" s="502"/>
      <c r="N131" s="502"/>
      <c r="O131" s="502"/>
      <c r="P131" s="503"/>
    </row>
    <row r="132" spans="1:16" x14ac:dyDescent="0.2">
      <c r="A132" s="504" t="s">
        <v>159</v>
      </c>
      <c r="B132" s="484"/>
      <c r="C132" s="484"/>
      <c r="D132" s="484"/>
      <c r="E132" s="484"/>
      <c r="F132" s="484"/>
      <c r="G132" s="485"/>
      <c r="H132" s="33">
        <f>TRUNC(SUM(H131),4)</f>
        <v>0</v>
      </c>
      <c r="I132" s="314">
        <f>SUM(I131)</f>
        <v>0</v>
      </c>
      <c r="J132" s="504"/>
      <c r="K132" s="484"/>
      <c r="L132" s="484"/>
      <c r="M132" s="484"/>
      <c r="N132" s="484"/>
      <c r="O132" s="484"/>
      <c r="P132" s="485"/>
    </row>
    <row r="133" spans="1:16" x14ac:dyDescent="0.2">
      <c r="A133" s="42"/>
      <c r="B133" s="36"/>
      <c r="C133" s="36"/>
      <c r="D133" s="36"/>
      <c r="E133" s="36"/>
      <c r="F133" s="36"/>
      <c r="G133" s="36"/>
      <c r="H133" s="36"/>
      <c r="I133" s="315"/>
      <c r="J133" s="42"/>
      <c r="K133" s="36"/>
      <c r="L133" s="36"/>
      <c r="M133" s="36"/>
      <c r="N133" s="36"/>
      <c r="O133" s="36"/>
      <c r="P133" s="36"/>
    </row>
    <row r="134" spans="1:16" x14ac:dyDescent="0.2">
      <c r="A134" s="456" t="s">
        <v>160</v>
      </c>
      <c r="B134" s="457"/>
      <c r="C134" s="457"/>
      <c r="D134" s="457"/>
      <c r="E134" s="457"/>
      <c r="F134" s="457"/>
      <c r="G134" s="457"/>
      <c r="H134" s="457"/>
      <c r="I134" s="458"/>
      <c r="J134" s="456"/>
      <c r="K134" s="457"/>
      <c r="L134" s="457"/>
      <c r="M134" s="457"/>
      <c r="N134" s="457"/>
      <c r="O134" s="457"/>
      <c r="P134" s="457"/>
    </row>
    <row r="135" spans="1:16" x14ac:dyDescent="0.2">
      <c r="A135" s="313">
        <v>4</v>
      </c>
      <c r="B135" s="495" t="s">
        <v>161</v>
      </c>
      <c r="C135" s="496"/>
      <c r="D135" s="496"/>
      <c r="E135" s="496"/>
      <c r="F135" s="496"/>
      <c r="G135" s="497"/>
      <c r="H135" s="37"/>
      <c r="I135" s="297" t="s">
        <v>71</v>
      </c>
      <c r="J135" s="313"/>
      <c r="K135" s="495"/>
      <c r="L135" s="496"/>
      <c r="M135" s="496"/>
      <c r="N135" s="496"/>
      <c r="O135" s="496"/>
      <c r="P135" s="497"/>
    </row>
    <row r="136" spans="1:16" x14ac:dyDescent="0.2">
      <c r="A136" s="296" t="s">
        <v>145</v>
      </c>
      <c r="B136" s="498" t="s">
        <v>162</v>
      </c>
      <c r="C136" s="499"/>
      <c r="D136" s="499"/>
      <c r="E136" s="499"/>
      <c r="F136" s="499"/>
      <c r="G136" s="500"/>
      <c r="H136" s="20"/>
      <c r="I136" s="82">
        <f>I128</f>
        <v>42.760649880000003</v>
      </c>
      <c r="J136" s="296"/>
      <c r="K136" s="498"/>
      <c r="L136" s="499"/>
      <c r="M136" s="499"/>
      <c r="N136" s="499"/>
      <c r="O136" s="499"/>
      <c r="P136" s="500"/>
    </row>
    <row r="137" spans="1:16" x14ac:dyDescent="0.2">
      <c r="A137" s="296" t="s">
        <v>156</v>
      </c>
      <c r="B137" s="498" t="s">
        <v>163</v>
      </c>
      <c r="C137" s="499"/>
      <c r="D137" s="499"/>
      <c r="E137" s="499"/>
      <c r="F137" s="499"/>
      <c r="G137" s="500"/>
      <c r="H137" s="20"/>
      <c r="I137" s="82">
        <f>I132</f>
        <v>0</v>
      </c>
      <c r="J137" s="296"/>
      <c r="K137" s="498"/>
      <c r="L137" s="499"/>
      <c r="M137" s="499"/>
      <c r="N137" s="499"/>
      <c r="O137" s="499"/>
      <c r="P137" s="500"/>
    </row>
    <row r="138" spans="1:16" x14ac:dyDescent="0.2">
      <c r="A138" s="475" t="s">
        <v>164</v>
      </c>
      <c r="B138" s="487"/>
      <c r="C138" s="487"/>
      <c r="D138" s="487"/>
      <c r="E138" s="487"/>
      <c r="F138" s="487"/>
      <c r="G138" s="487"/>
      <c r="H138" s="487"/>
      <c r="I138" s="320">
        <f>SUM(I136:I137)</f>
        <v>42.760649880000003</v>
      </c>
      <c r="J138" s="475"/>
      <c r="K138" s="487"/>
      <c r="L138" s="487"/>
      <c r="M138" s="487"/>
      <c r="N138" s="487"/>
      <c r="O138" s="487"/>
      <c r="P138" s="487"/>
    </row>
    <row r="139" spans="1:16" x14ac:dyDescent="0.2">
      <c r="A139" s="488"/>
      <c r="B139" s="489"/>
      <c r="C139" s="489"/>
      <c r="D139" s="489"/>
      <c r="E139" s="489"/>
      <c r="F139" s="489"/>
      <c r="G139" s="489"/>
      <c r="H139" s="489"/>
      <c r="I139" s="490"/>
      <c r="J139" s="488"/>
      <c r="K139" s="489"/>
      <c r="L139" s="489"/>
      <c r="M139" s="489"/>
      <c r="N139" s="489"/>
      <c r="O139" s="489"/>
      <c r="P139" s="489"/>
    </row>
    <row r="140" spans="1:16" x14ac:dyDescent="0.2">
      <c r="A140" s="469" t="s">
        <v>165</v>
      </c>
      <c r="B140" s="470"/>
      <c r="C140" s="470"/>
      <c r="D140" s="470"/>
      <c r="E140" s="470"/>
      <c r="F140" s="470"/>
      <c r="G140" s="470"/>
      <c r="H140" s="470"/>
      <c r="I140" s="471"/>
      <c r="J140" s="469"/>
      <c r="K140" s="470"/>
      <c r="L140" s="470"/>
      <c r="M140" s="470"/>
      <c r="N140" s="470"/>
      <c r="O140" s="470"/>
      <c r="P140" s="470"/>
    </row>
    <row r="141" spans="1:16" x14ac:dyDescent="0.2">
      <c r="A141" s="296">
        <v>5</v>
      </c>
      <c r="B141" s="465" t="s">
        <v>166</v>
      </c>
      <c r="C141" s="465"/>
      <c r="D141" s="465"/>
      <c r="E141" s="465"/>
      <c r="F141" s="465"/>
      <c r="G141" s="465"/>
      <c r="H141" s="8"/>
      <c r="I141" s="297" t="s">
        <v>71</v>
      </c>
      <c r="J141" s="296"/>
      <c r="K141" s="465"/>
      <c r="L141" s="465"/>
      <c r="M141" s="465"/>
      <c r="N141" s="465"/>
      <c r="O141" s="465"/>
      <c r="P141" s="465"/>
    </row>
    <row r="142" spans="1:16" x14ac:dyDescent="0.2">
      <c r="A142" s="296" t="s">
        <v>37</v>
      </c>
      <c r="B142" s="480" t="s">
        <v>167</v>
      </c>
      <c r="C142" s="480"/>
      <c r="D142" s="480"/>
      <c r="E142" s="480"/>
      <c r="F142" s="480"/>
      <c r="G142" s="480"/>
      <c r="H142" s="21" t="s">
        <v>116</v>
      </c>
      <c r="I142" s="82">
        <f>'Uniform&amp;EPIs '!K24</f>
        <v>40.434166666666663</v>
      </c>
      <c r="J142" s="296"/>
      <c r="K142" s="480"/>
      <c r="L142" s="480"/>
      <c r="M142" s="480"/>
      <c r="N142" s="480"/>
      <c r="O142" s="480"/>
      <c r="P142" s="480"/>
    </row>
    <row r="143" spans="1:16" x14ac:dyDescent="0.2">
      <c r="A143" s="296" t="s">
        <v>39</v>
      </c>
      <c r="B143" s="480" t="s">
        <v>168</v>
      </c>
      <c r="C143" s="480"/>
      <c r="D143" s="480"/>
      <c r="E143" s="480"/>
      <c r="F143" s="480"/>
      <c r="G143" s="480"/>
      <c r="H143" s="21" t="s">
        <v>116</v>
      </c>
      <c r="I143" s="82">
        <f>Materiais!K62</f>
        <v>1551.2100000000005</v>
      </c>
      <c r="J143" s="296"/>
      <c r="K143" s="480"/>
      <c r="L143" s="480"/>
      <c r="M143" s="480"/>
      <c r="N143" s="480"/>
      <c r="O143" s="480"/>
      <c r="P143" s="480"/>
    </row>
    <row r="144" spans="1:16" x14ac:dyDescent="0.2">
      <c r="A144" s="322" t="s">
        <v>41</v>
      </c>
      <c r="B144" s="480" t="s">
        <v>169</v>
      </c>
      <c r="C144" s="480"/>
      <c r="D144" s="480"/>
      <c r="E144" s="480"/>
      <c r="F144" s="480"/>
      <c r="G144" s="480"/>
      <c r="H144" s="21" t="s">
        <v>116</v>
      </c>
      <c r="I144" s="82">
        <f>Equipamentos!K30</f>
        <v>98.654747222222227</v>
      </c>
      <c r="J144" s="322"/>
      <c r="K144" s="480"/>
      <c r="L144" s="480"/>
      <c r="M144" s="480"/>
      <c r="N144" s="480"/>
      <c r="O144" s="480"/>
      <c r="P144" s="480"/>
    </row>
    <row r="145" spans="1:17" x14ac:dyDescent="0.2">
      <c r="A145" s="322" t="s">
        <v>44</v>
      </c>
      <c r="B145" s="480" t="s">
        <v>79</v>
      </c>
      <c r="C145" s="480"/>
      <c r="D145" s="480"/>
      <c r="E145" s="480"/>
      <c r="F145" s="480"/>
      <c r="G145" s="480"/>
      <c r="H145" s="21" t="s">
        <v>116</v>
      </c>
      <c r="I145" s="82">
        <v>0</v>
      </c>
      <c r="J145" s="322"/>
      <c r="K145" s="480"/>
      <c r="L145" s="480"/>
      <c r="M145" s="480"/>
      <c r="N145" s="480"/>
      <c r="O145" s="480"/>
      <c r="P145" s="480"/>
    </row>
    <row r="146" spans="1:17" x14ac:dyDescent="0.2">
      <c r="A146" s="475" t="s">
        <v>170</v>
      </c>
      <c r="B146" s="487"/>
      <c r="C146" s="487"/>
      <c r="D146" s="487"/>
      <c r="E146" s="487"/>
      <c r="F146" s="487"/>
      <c r="G146" s="487"/>
      <c r="H146" s="33" t="s">
        <v>116</v>
      </c>
      <c r="I146" s="320">
        <f>SUM(I142:I145)</f>
        <v>1690.2989138888893</v>
      </c>
      <c r="J146" s="475"/>
      <c r="K146" s="487"/>
      <c r="L146" s="487"/>
      <c r="M146" s="487"/>
      <c r="N146" s="487"/>
      <c r="O146" s="487"/>
      <c r="P146" s="487"/>
    </row>
    <row r="147" spans="1:17" x14ac:dyDescent="0.2">
      <c r="A147" s="323"/>
      <c r="B147" s="43"/>
      <c r="C147" s="43"/>
      <c r="D147" s="43"/>
      <c r="E147" s="43"/>
      <c r="F147" s="43"/>
      <c r="G147" s="43"/>
      <c r="H147" s="43"/>
      <c r="I147" s="324"/>
      <c r="J147" s="323"/>
      <c r="K147" s="43"/>
      <c r="L147" s="43"/>
      <c r="M147" s="43"/>
      <c r="N147" s="43"/>
      <c r="O147" s="43"/>
      <c r="P147" s="43"/>
    </row>
    <row r="148" spans="1:17" x14ac:dyDescent="0.2">
      <c r="A148" s="300" t="s">
        <v>171</v>
      </c>
      <c r="B148" s="3"/>
      <c r="C148" s="3"/>
      <c r="D148" s="3"/>
      <c r="E148" s="3"/>
      <c r="F148" s="3"/>
      <c r="G148" s="3"/>
      <c r="H148" s="3"/>
      <c r="I148" s="321"/>
      <c r="J148" s="300"/>
      <c r="K148" s="3"/>
      <c r="L148" s="3"/>
      <c r="M148" s="3"/>
      <c r="N148" s="3"/>
      <c r="O148" s="3"/>
      <c r="P148" s="3"/>
    </row>
    <row r="149" spans="1:17" x14ac:dyDescent="0.2">
      <c r="A149" s="325"/>
      <c r="B149" s="3"/>
      <c r="C149" s="3"/>
      <c r="D149" s="3"/>
      <c r="E149" s="3"/>
      <c r="F149" s="3"/>
      <c r="G149" s="3"/>
      <c r="H149" s="3"/>
      <c r="I149" s="321"/>
      <c r="J149" s="325"/>
      <c r="K149" s="3"/>
      <c r="L149" s="3"/>
      <c r="M149" s="3"/>
      <c r="N149" s="3"/>
      <c r="O149" s="3"/>
      <c r="P149" s="3"/>
    </row>
    <row r="150" spans="1:17" x14ac:dyDescent="0.2">
      <c r="A150" s="469" t="s">
        <v>172</v>
      </c>
      <c r="B150" s="470"/>
      <c r="C150" s="470"/>
      <c r="D150" s="470"/>
      <c r="E150" s="470"/>
      <c r="F150" s="470"/>
      <c r="G150" s="470"/>
      <c r="H150" s="470"/>
      <c r="I150" s="471"/>
      <c r="J150" s="469"/>
      <c r="K150" s="470"/>
      <c r="L150" s="470"/>
      <c r="M150" s="470"/>
      <c r="N150" s="470"/>
      <c r="O150" s="470"/>
      <c r="P150" s="470"/>
    </row>
    <row r="151" spans="1:17" x14ac:dyDescent="0.2">
      <c r="A151" s="296">
        <v>6</v>
      </c>
      <c r="B151" s="465" t="s">
        <v>173</v>
      </c>
      <c r="C151" s="465"/>
      <c r="D151" s="465"/>
      <c r="E151" s="465"/>
      <c r="F151" s="465"/>
      <c r="G151" s="465"/>
      <c r="H151" s="8" t="s">
        <v>70</v>
      </c>
      <c r="I151" s="297" t="s">
        <v>71</v>
      </c>
      <c r="J151" s="296"/>
      <c r="K151" s="465"/>
      <c r="L151" s="465"/>
      <c r="M151" s="465"/>
      <c r="N151" s="465"/>
      <c r="O151" s="465"/>
      <c r="P151" s="465"/>
    </row>
    <row r="152" spans="1:17" x14ac:dyDescent="0.2">
      <c r="A152" s="296" t="s">
        <v>37</v>
      </c>
      <c r="B152" s="454" t="s">
        <v>174</v>
      </c>
      <c r="C152" s="454"/>
      <c r="D152" s="454"/>
      <c r="E152" s="454"/>
      <c r="F152" s="454"/>
      <c r="G152" s="454"/>
      <c r="H152" s="24">
        <v>0.05</v>
      </c>
      <c r="I152" s="326">
        <f>H152*I170</f>
        <v>251.9814630593778</v>
      </c>
      <c r="J152" s="296"/>
      <c r="K152" s="454"/>
      <c r="L152" s="454"/>
      <c r="M152" s="454"/>
      <c r="N152" s="454"/>
      <c r="O152" s="454"/>
      <c r="P152" s="454"/>
      <c r="Q152" s="25"/>
    </row>
    <row r="153" spans="1:17" x14ac:dyDescent="0.2">
      <c r="A153" s="296" t="s">
        <v>39</v>
      </c>
      <c r="B153" s="454" t="s">
        <v>175</v>
      </c>
      <c r="C153" s="454"/>
      <c r="D153" s="454"/>
      <c r="E153" s="454"/>
      <c r="F153" s="454"/>
      <c r="G153" s="454"/>
      <c r="H153" s="24">
        <v>0.1</v>
      </c>
      <c r="I153" s="326">
        <f>H153*(I152+I170)</f>
        <v>529.16107242469332</v>
      </c>
      <c r="J153" s="296"/>
      <c r="K153" s="454"/>
      <c r="L153" s="454"/>
      <c r="M153" s="454"/>
      <c r="N153" s="454"/>
      <c r="O153" s="454"/>
      <c r="P153" s="454"/>
      <c r="Q153" s="25"/>
    </row>
    <row r="154" spans="1:17" x14ac:dyDescent="0.2">
      <c r="A154" s="296" t="s">
        <v>41</v>
      </c>
      <c r="B154" s="505" t="s">
        <v>176</v>
      </c>
      <c r="C154" s="505"/>
      <c r="D154" s="505"/>
      <c r="E154" s="505"/>
      <c r="F154" s="505"/>
      <c r="G154" s="505"/>
      <c r="H154" s="2"/>
      <c r="I154" s="327"/>
      <c r="J154" s="296"/>
      <c r="K154" s="505"/>
      <c r="L154" s="505"/>
      <c r="M154" s="505"/>
      <c r="N154" s="505"/>
      <c r="O154" s="505"/>
      <c r="P154" s="505"/>
    </row>
    <row r="155" spans="1:17" x14ac:dyDescent="0.2">
      <c r="A155" s="296" t="s">
        <v>177</v>
      </c>
      <c r="B155" s="454" t="s">
        <v>178</v>
      </c>
      <c r="C155" s="454"/>
      <c r="D155" s="454"/>
      <c r="E155" s="454"/>
      <c r="F155" s="454"/>
      <c r="G155" s="454"/>
      <c r="H155" s="6">
        <v>1.6500000000000001E-2</v>
      </c>
      <c r="I155" s="326">
        <f>H155*$I$172</f>
        <v>112.00318909047445</v>
      </c>
      <c r="J155" s="296"/>
      <c r="K155" s="454"/>
      <c r="L155" s="454"/>
      <c r="M155" s="454"/>
      <c r="N155" s="454"/>
      <c r="O155" s="454"/>
      <c r="P155" s="454"/>
      <c r="Q155" s="25"/>
    </row>
    <row r="156" spans="1:17" x14ac:dyDescent="0.2">
      <c r="A156" s="296" t="s">
        <v>179</v>
      </c>
      <c r="B156" s="454" t="s">
        <v>180</v>
      </c>
      <c r="C156" s="454"/>
      <c r="D156" s="454"/>
      <c r="E156" s="454"/>
      <c r="F156" s="454"/>
      <c r="G156" s="454"/>
      <c r="H156" s="6">
        <v>7.5999999999999998E-2</v>
      </c>
      <c r="I156" s="326">
        <f t="shared" ref="I156:I157" si="2">H156*$I$172</f>
        <v>515.89347702279133</v>
      </c>
      <c r="J156" s="296"/>
      <c r="K156" s="454"/>
      <c r="L156" s="454"/>
      <c r="M156" s="454"/>
      <c r="N156" s="454"/>
      <c r="O156" s="454"/>
      <c r="P156" s="454"/>
      <c r="Q156" s="25"/>
    </row>
    <row r="157" spans="1:17" x14ac:dyDescent="0.2">
      <c r="A157" s="296" t="s">
        <v>181</v>
      </c>
      <c r="B157" s="454" t="s">
        <v>182</v>
      </c>
      <c r="C157" s="454"/>
      <c r="D157" s="454"/>
      <c r="E157" s="454"/>
      <c r="F157" s="454"/>
      <c r="G157" s="454"/>
      <c r="H157" s="6">
        <v>0.05</v>
      </c>
      <c r="I157" s="326">
        <f t="shared" si="2"/>
        <v>339.40360330446805</v>
      </c>
      <c r="J157" s="296"/>
      <c r="K157" s="454"/>
      <c r="L157" s="454"/>
      <c r="M157" s="454"/>
      <c r="N157" s="454"/>
      <c r="O157" s="454"/>
      <c r="P157" s="454"/>
      <c r="Q157" s="25"/>
    </row>
    <row r="158" spans="1:17" x14ac:dyDescent="0.2">
      <c r="A158" s="475" t="s">
        <v>183</v>
      </c>
      <c r="B158" s="487"/>
      <c r="C158" s="487"/>
      <c r="D158" s="487"/>
      <c r="E158" s="487"/>
      <c r="F158" s="487"/>
      <c r="G158" s="487"/>
      <c r="H158" s="44">
        <f>SUM(H152:H157)</f>
        <v>0.29250000000000004</v>
      </c>
      <c r="I158" s="320">
        <f>SUM(I152:I157)</f>
        <v>1748.4428049018049</v>
      </c>
      <c r="J158" s="475"/>
      <c r="K158" s="487"/>
      <c r="L158" s="487"/>
      <c r="M158" s="487"/>
      <c r="N158" s="487"/>
      <c r="O158" s="487"/>
      <c r="P158" s="487"/>
    </row>
    <row r="159" spans="1:17" x14ac:dyDescent="0.2">
      <c r="A159" s="287"/>
      <c r="B159" s="238"/>
      <c r="C159" s="238"/>
      <c r="D159" s="238"/>
      <c r="E159" s="238"/>
      <c r="F159" s="238"/>
      <c r="G159" s="238"/>
      <c r="H159" s="238"/>
      <c r="I159" s="328"/>
      <c r="J159" s="287"/>
      <c r="K159" s="238"/>
      <c r="L159" s="238"/>
      <c r="M159" s="238"/>
      <c r="N159" s="238"/>
      <c r="O159" s="238"/>
      <c r="P159" s="238"/>
    </row>
    <row r="160" spans="1:17" x14ac:dyDescent="0.2">
      <c r="A160" s="300" t="s">
        <v>184</v>
      </c>
      <c r="B160" s="238"/>
      <c r="C160" s="238"/>
      <c r="D160" s="238"/>
      <c r="E160" s="238"/>
      <c r="F160" s="238"/>
      <c r="G160" s="238"/>
      <c r="H160" s="238"/>
      <c r="I160" s="328"/>
      <c r="J160" s="300"/>
      <c r="K160" s="238"/>
      <c r="L160" s="238"/>
      <c r="M160" s="238"/>
      <c r="N160" s="238"/>
      <c r="O160" s="238"/>
      <c r="P160" s="238"/>
    </row>
    <row r="161" spans="1:16" x14ac:dyDescent="0.2">
      <c r="A161" s="300" t="s">
        <v>185</v>
      </c>
      <c r="B161" s="238"/>
      <c r="C161" s="238"/>
      <c r="D161" s="238"/>
      <c r="E161" s="238"/>
      <c r="F161" s="238"/>
      <c r="G161" s="238"/>
      <c r="H161" s="238"/>
      <c r="I161" s="328"/>
      <c r="J161" s="300"/>
      <c r="K161" s="238"/>
      <c r="L161" s="238"/>
      <c r="M161" s="238"/>
      <c r="N161" s="238"/>
      <c r="O161" s="238"/>
      <c r="P161" s="238"/>
    </row>
    <row r="162" spans="1:16" x14ac:dyDescent="0.2">
      <c r="A162" s="287"/>
      <c r="B162" s="233"/>
      <c r="C162" s="233"/>
      <c r="D162" s="233"/>
      <c r="E162" s="233"/>
      <c r="F162" s="233"/>
      <c r="G162" s="233"/>
      <c r="H162" s="233"/>
      <c r="I162" s="61"/>
      <c r="J162" s="287"/>
      <c r="K162" s="233"/>
      <c r="L162" s="233"/>
      <c r="M162" s="233"/>
      <c r="N162" s="233"/>
      <c r="O162" s="233"/>
      <c r="P162" s="233"/>
    </row>
    <row r="163" spans="1:16" x14ac:dyDescent="0.2">
      <c r="A163" s="456" t="s">
        <v>186</v>
      </c>
      <c r="B163" s="457"/>
      <c r="C163" s="457"/>
      <c r="D163" s="457"/>
      <c r="E163" s="457"/>
      <c r="F163" s="457"/>
      <c r="G163" s="457"/>
      <c r="H163" s="457"/>
      <c r="I163" s="458"/>
      <c r="J163" s="456"/>
      <c r="K163" s="457"/>
      <c r="L163" s="457"/>
      <c r="M163" s="457"/>
      <c r="N163" s="457"/>
      <c r="O163" s="457"/>
      <c r="P163" s="457"/>
    </row>
    <row r="164" spans="1:16" x14ac:dyDescent="0.2">
      <c r="A164" s="464" t="s">
        <v>187</v>
      </c>
      <c r="B164" s="465"/>
      <c r="C164" s="465"/>
      <c r="D164" s="465"/>
      <c r="E164" s="465"/>
      <c r="F164" s="465"/>
      <c r="G164" s="465"/>
      <c r="H164" s="465"/>
      <c r="I164" s="297" t="s">
        <v>71</v>
      </c>
      <c r="J164" s="464"/>
      <c r="K164" s="465"/>
      <c r="L164" s="465"/>
      <c r="M164" s="465"/>
      <c r="N164" s="465"/>
      <c r="O164" s="465"/>
      <c r="P164" s="465"/>
    </row>
    <row r="165" spans="1:16" x14ac:dyDescent="0.2">
      <c r="A165" s="292" t="s">
        <v>37</v>
      </c>
      <c r="B165" s="455" t="str">
        <f>A37</f>
        <v>MÓDULO 1 - COMPOSIÇÃO DA REMUNERAÇÃO</v>
      </c>
      <c r="C165" s="455"/>
      <c r="D165" s="455"/>
      <c r="E165" s="455"/>
      <c r="F165" s="455"/>
      <c r="G165" s="455"/>
      <c r="H165" s="455"/>
      <c r="I165" s="326">
        <f>I45</f>
        <v>1524.77</v>
      </c>
      <c r="J165" s="292"/>
      <c r="K165" s="455"/>
      <c r="L165" s="455"/>
      <c r="M165" s="455"/>
      <c r="N165" s="455"/>
      <c r="O165" s="455"/>
      <c r="P165" s="455"/>
    </row>
    <row r="166" spans="1:16" x14ac:dyDescent="0.2">
      <c r="A166" s="292" t="s">
        <v>39</v>
      </c>
      <c r="B166" s="455" t="str">
        <f>A50</f>
        <v>MÓDULO 2 – ENCARGOS E BENEFÍCIOS ANUAIS, MENSAIS E DIÁRIOS</v>
      </c>
      <c r="C166" s="455"/>
      <c r="D166" s="455"/>
      <c r="E166" s="455"/>
      <c r="F166" s="455"/>
      <c r="G166" s="455"/>
      <c r="H166" s="455"/>
      <c r="I166" s="326">
        <f>I102</f>
        <v>1673.4263647146668</v>
      </c>
      <c r="J166" s="292"/>
      <c r="K166" s="455"/>
      <c r="L166" s="455"/>
      <c r="M166" s="455"/>
      <c r="N166" s="455"/>
      <c r="O166" s="455"/>
      <c r="P166" s="455"/>
    </row>
    <row r="167" spans="1:16" x14ac:dyDescent="0.2">
      <c r="A167" s="292" t="s">
        <v>41</v>
      </c>
      <c r="B167" s="455" t="str">
        <f>A104</f>
        <v>MÓDULO 3 – PROVISÃO PARA RESCISÃO</v>
      </c>
      <c r="C167" s="455"/>
      <c r="D167" s="455"/>
      <c r="E167" s="455"/>
      <c r="F167" s="455"/>
      <c r="G167" s="455"/>
      <c r="H167" s="455"/>
      <c r="I167" s="326">
        <f>I112</f>
        <v>108.37333270400001</v>
      </c>
      <c r="J167" s="292"/>
      <c r="K167" s="455"/>
      <c r="L167" s="455"/>
      <c r="M167" s="455"/>
      <c r="N167" s="455"/>
      <c r="O167" s="455"/>
      <c r="P167" s="455"/>
    </row>
    <row r="168" spans="1:16" x14ac:dyDescent="0.2">
      <c r="A168" s="329" t="s">
        <v>44</v>
      </c>
      <c r="B168" s="455" t="str">
        <f>A114</f>
        <v>MÓDULO 4 – CUSTO DE REPOSIÇÃO DO PROFISSIONAL AUSENTE</v>
      </c>
      <c r="C168" s="455"/>
      <c r="D168" s="455"/>
      <c r="E168" s="455"/>
      <c r="F168" s="455"/>
      <c r="G168" s="455"/>
      <c r="H168" s="455"/>
      <c r="I168" s="326">
        <f>I138</f>
        <v>42.760649880000003</v>
      </c>
      <c r="J168" s="329"/>
      <c r="K168" s="455"/>
      <c r="L168" s="455"/>
      <c r="M168" s="455"/>
      <c r="N168" s="455"/>
      <c r="O168" s="455"/>
      <c r="P168" s="455"/>
    </row>
    <row r="169" spans="1:16" x14ac:dyDescent="0.2">
      <c r="A169" s="329" t="s">
        <v>76</v>
      </c>
      <c r="B169" s="455" t="str">
        <f>A140</f>
        <v>MÓDULO 5 – INSUMOS DIVERSOS</v>
      </c>
      <c r="C169" s="455"/>
      <c r="D169" s="455"/>
      <c r="E169" s="455"/>
      <c r="F169" s="455"/>
      <c r="G169" s="455"/>
      <c r="H169" s="455"/>
      <c r="I169" s="326">
        <f>I146</f>
        <v>1690.2989138888893</v>
      </c>
      <c r="J169" s="329"/>
      <c r="K169" s="455"/>
      <c r="L169" s="455"/>
      <c r="M169" s="455"/>
      <c r="N169" s="455"/>
      <c r="O169" s="455"/>
      <c r="P169" s="455"/>
    </row>
    <row r="170" spans="1:16" x14ac:dyDescent="0.2">
      <c r="A170" s="296"/>
      <c r="B170" s="465" t="s">
        <v>188</v>
      </c>
      <c r="C170" s="465"/>
      <c r="D170" s="465"/>
      <c r="E170" s="465"/>
      <c r="F170" s="465"/>
      <c r="G170" s="465"/>
      <c r="H170" s="465"/>
      <c r="I170" s="330">
        <f>SUM(I165:I169)</f>
        <v>5039.629261187556</v>
      </c>
      <c r="J170" s="296"/>
      <c r="K170" s="465"/>
      <c r="L170" s="465"/>
      <c r="M170" s="465"/>
      <c r="N170" s="465"/>
      <c r="O170" s="465"/>
      <c r="P170" s="465"/>
    </row>
    <row r="171" spans="1:16" x14ac:dyDescent="0.2">
      <c r="A171" s="329" t="s">
        <v>78</v>
      </c>
      <c r="B171" s="455" t="str">
        <f>A150</f>
        <v>MÓDULO 6 – CUSTOS INDIRETOS, TRIBUTOS E LUCRO</v>
      </c>
      <c r="C171" s="455"/>
      <c r="D171" s="455"/>
      <c r="E171" s="455"/>
      <c r="F171" s="455"/>
      <c r="G171" s="455"/>
      <c r="H171" s="455"/>
      <c r="I171" s="82">
        <f>I158</f>
        <v>1748.4428049018049</v>
      </c>
      <c r="J171" s="329"/>
      <c r="K171" s="455"/>
      <c r="L171" s="455"/>
      <c r="M171" s="455"/>
      <c r="N171" s="455"/>
      <c r="O171" s="455"/>
      <c r="P171" s="455"/>
    </row>
    <row r="172" spans="1:16" x14ac:dyDescent="0.2">
      <c r="A172" s="506" t="s">
        <v>189</v>
      </c>
      <c r="B172" s="507"/>
      <c r="C172" s="507"/>
      <c r="D172" s="507"/>
      <c r="E172" s="507"/>
      <c r="F172" s="507"/>
      <c r="G172" s="507"/>
      <c r="H172" s="507"/>
      <c r="I172" s="331">
        <f>SUM(I45,I102,I112,I138,I146,I152,I153)/(1-SUM(H155:H157))</f>
        <v>6788.0720660893603</v>
      </c>
      <c r="J172" s="506"/>
      <c r="K172" s="507"/>
      <c r="L172" s="507"/>
      <c r="M172" s="507"/>
      <c r="N172" s="507"/>
      <c r="O172" s="507"/>
      <c r="P172" s="507"/>
    </row>
    <row r="173" spans="1:16" x14ac:dyDescent="0.2">
      <c r="A173" s="3"/>
      <c r="B173" s="3"/>
      <c r="C173" s="3"/>
      <c r="D173" s="3"/>
      <c r="E173" s="3"/>
      <c r="F173" s="3"/>
      <c r="G173" s="3"/>
      <c r="H173" s="3"/>
      <c r="I173" s="4"/>
      <c r="J173" s="57"/>
    </row>
    <row r="174" spans="1:16" s="284" customFormat="1" ht="17.45" customHeight="1" x14ac:dyDescent="0.2">
      <c r="A174" s="508" t="s">
        <v>190</v>
      </c>
      <c r="B174" s="509"/>
      <c r="C174" s="509"/>
      <c r="D174" s="509"/>
      <c r="E174" s="509"/>
      <c r="F174" s="509"/>
      <c r="G174" s="509"/>
      <c r="H174" s="387">
        <v>1</v>
      </c>
      <c r="I174" s="332">
        <f>I172*H174</f>
        <v>6788.0720660893603</v>
      </c>
      <c r="J174" s="335"/>
      <c r="K174" s="285"/>
      <c r="L174" s="285"/>
      <c r="M174" s="285"/>
      <c r="N174" s="285"/>
      <c r="O174" s="510"/>
      <c r="P174" s="511"/>
    </row>
    <row r="175" spans="1:16" s="284" customFormat="1" ht="24.95" customHeight="1" x14ac:dyDescent="0.2">
      <c r="A175" s="522">
        <f>(I174)</f>
        <v>6788.0720660893603</v>
      </c>
      <c r="B175" s="523"/>
      <c r="C175" s="523"/>
      <c r="D175" s="523"/>
      <c r="E175" s="523"/>
      <c r="F175" s="523"/>
      <c r="G175" s="523"/>
      <c r="H175" s="524" t="str">
        <f>I31</f>
        <v>Servente de limpeza</v>
      </c>
      <c r="I175" s="525"/>
      <c r="J175" s="336"/>
      <c r="K175" s="283"/>
      <c r="L175" s="283"/>
      <c r="M175" s="283"/>
      <c r="N175" s="283"/>
      <c r="O175" s="283"/>
      <c r="P175" s="283"/>
    </row>
    <row r="176" spans="1:16" x14ac:dyDescent="0.2">
      <c r="A176" s="3"/>
      <c r="B176" s="3"/>
      <c r="C176" s="3"/>
      <c r="D176" s="3"/>
      <c r="E176" s="3"/>
      <c r="F176" s="3"/>
      <c r="G176" s="3"/>
      <c r="H176" s="3"/>
      <c r="I176" s="4"/>
    </row>
    <row r="177" spans="1:9" x14ac:dyDescent="0.2">
      <c r="A177" s="3"/>
      <c r="B177" s="3"/>
      <c r="C177" s="3"/>
      <c r="D177" s="3"/>
      <c r="E177" s="3"/>
      <c r="F177" s="3"/>
      <c r="G177" s="3"/>
      <c r="H177" s="3"/>
      <c r="I177" s="4"/>
    </row>
    <row r="178" spans="1:9" x14ac:dyDescent="0.2">
      <c r="A178" s="3"/>
      <c r="B178" s="3"/>
      <c r="C178" s="3"/>
      <c r="D178" s="3"/>
      <c r="E178" s="3"/>
      <c r="F178" s="3"/>
      <c r="G178" s="3"/>
      <c r="H178" s="3"/>
      <c r="I178" s="4"/>
    </row>
    <row r="179" spans="1:9" ht="23.1" customHeight="1" x14ac:dyDescent="0.2">
      <c r="A179" s="476" t="s">
        <v>191</v>
      </c>
      <c r="B179" s="477"/>
      <c r="C179" s="477"/>
      <c r="D179" s="477"/>
      <c r="E179" s="477"/>
      <c r="F179" s="477"/>
      <c r="G179" s="477"/>
      <c r="H179" s="477"/>
      <c r="I179" s="478"/>
    </row>
    <row r="180" spans="1:9" x14ac:dyDescent="0.2">
      <c r="A180" s="526"/>
      <c r="B180" s="527"/>
      <c r="C180" s="527"/>
      <c r="D180" s="527"/>
      <c r="E180" s="527"/>
      <c r="F180" s="527"/>
      <c r="G180" s="527"/>
      <c r="H180" s="527"/>
      <c r="I180" s="528"/>
    </row>
    <row r="181" spans="1:9" x14ac:dyDescent="0.2">
      <c r="A181" s="514" t="s">
        <v>192</v>
      </c>
      <c r="B181" s="515"/>
      <c r="C181" s="515"/>
      <c r="D181" s="515"/>
      <c r="E181" s="515"/>
      <c r="F181" s="515"/>
      <c r="G181" s="515"/>
      <c r="H181" s="515"/>
      <c r="I181" s="516"/>
    </row>
    <row r="182" spans="1:9" ht="29.1" customHeight="1" x14ac:dyDescent="0.2">
      <c r="A182" s="517"/>
      <c r="B182" s="518"/>
      <c r="C182" s="518"/>
      <c r="D182" s="518"/>
      <c r="E182" s="518"/>
      <c r="F182" s="518"/>
      <c r="G182" s="518"/>
      <c r="H182" s="518"/>
      <c r="I182" s="519"/>
    </row>
    <row r="184" spans="1:9" ht="38.25" x14ac:dyDescent="0.2">
      <c r="A184" s="520" t="s">
        <v>193</v>
      </c>
      <c r="B184" s="520"/>
      <c r="C184" s="520"/>
      <c r="D184" s="45" t="s">
        <v>194</v>
      </c>
      <c r="E184" s="38" t="s">
        <v>195</v>
      </c>
      <c r="F184" s="38" t="s">
        <v>196</v>
      </c>
      <c r="G184" s="529" t="s">
        <v>197</v>
      </c>
      <c r="H184" s="520"/>
      <c r="I184" s="45" t="s">
        <v>198</v>
      </c>
    </row>
    <row r="185" spans="1:9" ht="34.5" customHeight="1" x14ac:dyDescent="0.2">
      <c r="A185" s="512" t="s">
        <v>199</v>
      </c>
      <c r="B185" s="512"/>
      <c r="C185" s="512"/>
      <c r="D185" s="340">
        <v>800</v>
      </c>
      <c r="E185" s="28">
        <f>H174</f>
        <v>1</v>
      </c>
      <c r="F185" s="339">
        <f>E185*D185</f>
        <v>800</v>
      </c>
      <c r="G185" s="513">
        <f>A175</f>
        <v>6788.0720660893603</v>
      </c>
      <c r="H185" s="512"/>
      <c r="I185" s="337">
        <f>TRUNC((1/F185*G185),2)</f>
        <v>8.48</v>
      </c>
    </row>
    <row r="186" spans="1:9" x14ac:dyDescent="0.2">
      <c r="A186" s="465" t="s">
        <v>200</v>
      </c>
      <c r="B186" s="465"/>
      <c r="C186" s="465"/>
      <c r="D186" s="465"/>
      <c r="E186" s="465"/>
      <c r="F186" s="465"/>
      <c r="G186" s="465"/>
      <c r="H186" s="465"/>
      <c r="I186" s="338">
        <f>SUM(I185:I185)</f>
        <v>8.48</v>
      </c>
    </row>
    <row r="187" spans="1:9" s="41" customFormat="1" ht="18.95" customHeight="1" x14ac:dyDescent="0.2">
      <c r="A187" s="486" t="s">
        <v>201</v>
      </c>
      <c r="B187" s="486"/>
      <c r="C187" s="486"/>
      <c r="D187" s="486"/>
      <c r="E187" s="486"/>
      <c r="F187" s="486"/>
      <c r="G187" s="486"/>
      <c r="H187" s="486"/>
      <c r="I187" s="486"/>
    </row>
    <row r="188" spans="1:9" hidden="1" outlineLevel="1" x14ac:dyDescent="0.2"/>
    <row r="189" spans="1:9" hidden="1" outlineLevel="1" x14ac:dyDescent="0.2">
      <c r="A189" s="514" t="s">
        <v>202</v>
      </c>
      <c r="B189" s="515"/>
      <c r="C189" s="515"/>
      <c r="D189" s="515"/>
      <c r="E189" s="515"/>
      <c r="F189" s="515"/>
      <c r="G189" s="515"/>
      <c r="H189" s="515"/>
      <c r="I189" s="516"/>
    </row>
    <row r="190" spans="1:9" hidden="1" outlineLevel="1" x14ac:dyDescent="0.2">
      <c r="A190" s="517"/>
      <c r="B190" s="518"/>
      <c r="C190" s="518"/>
      <c r="D190" s="518"/>
      <c r="E190" s="518"/>
      <c r="F190" s="518"/>
      <c r="G190" s="518"/>
      <c r="H190" s="518"/>
      <c r="I190" s="519"/>
    </row>
    <row r="191" spans="1:9" hidden="1" outlineLevel="1" x14ac:dyDescent="0.2"/>
    <row r="192" spans="1:9" ht="38.25" hidden="1" outlineLevel="1" x14ac:dyDescent="0.2">
      <c r="A192" s="520" t="s">
        <v>193</v>
      </c>
      <c r="B192" s="520"/>
      <c r="C192" s="520"/>
      <c r="D192" s="521" t="s">
        <v>203</v>
      </c>
      <c r="E192" s="465"/>
      <c r="F192" s="465"/>
      <c r="G192" s="521" t="s">
        <v>204</v>
      </c>
      <c r="H192" s="465"/>
      <c r="I192" s="45" t="s">
        <v>198</v>
      </c>
    </row>
    <row r="193" spans="1:9" ht="30" hidden="1" customHeight="1" outlineLevel="1" x14ac:dyDescent="0.2">
      <c r="A193" s="512" t="s">
        <v>199</v>
      </c>
      <c r="B193" s="512"/>
      <c r="C193" s="512"/>
      <c r="D193" s="461" t="s">
        <v>205</v>
      </c>
      <c r="E193" s="512"/>
      <c r="F193" s="512"/>
      <c r="G193" s="513">
        <f>A175</f>
        <v>6788.0720660893603</v>
      </c>
      <c r="H193" s="512"/>
      <c r="I193" s="158">
        <f>TRUNC((1/1800)*G193,2)</f>
        <v>3.77</v>
      </c>
    </row>
    <row r="194" spans="1:9" hidden="1" outlineLevel="1" x14ac:dyDescent="0.2">
      <c r="A194" s="465" t="s">
        <v>200</v>
      </c>
      <c r="B194" s="465"/>
      <c r="C194" s="465"/>
      <c r="D194" s="465"/>
      <c r="E194" s="465"/>
      <c r="F194" s="465"/>
      <c r="G194" s="465"/>
      <c r="H194" s="465"/>
      <c r="I194" s="159">
        <f>SUM(I193:I193)</f>
        <v>3.77</v>
      </c>
    </row>
    <row r="195" spans="1:9" hidden="1" outlineLevel="1" x14ac:dyDescent="0.2"/>
    <row r="196" spans="1:9" hidden="1" outlineLevel="1" x14ac:dyDescent="0.2">
      <c r="A196" s="454" t="s">
        <v>206</v>
      </c>
      <c r="B196" s="454"/>
      <c r="C196" s="454"/>
      <c r="D196" s="454"/>
      <c r="E196" s="454"/>
      <c r="F196" s="454"/>
      <c r="G196" s="454"/>
      <c r="H196" s="454"/>
      <c r="I196" s="454"/>
    </row>
    <row r="197" spans="1:9" hidden="1" outlineLevel="1" x14ac:dyDescent="0.2"/>
    <row r="198" spans="1:9" hidden="1" outlineLevel="1" x14ac:dyDescent="0.2">
      <c r="A198" s="514" t="s">
        <v>207</v>
      </c>
      <c r="B198" s="515"/>
      <c r="C198" s="515"/>
      <c r="D198" s="515"/>
      <c r="E198" s="515"/>
      <c r="F198" s="515"/>
      <c r="G198" s="515"/>
      <c r="H198" s="515"/>
      <c r="I198" s="516"/>
    </row>
    <row r="199" spans="1:9" hidden="1" outlineLevel="1" x14ac:dyDescent="0.2">
      <c r="A199" s="517"/>
      <c r="B199" s="518"/>
      <c r="C199" s="518"/>
      <c r="D199" s="518"/>
      <c r="E199" s="518"/>
      <c r="F199" s="518"/>
      <c r="G199" s="518"/>
      <c r="H199" s="518"/>
      <c r="I199" s="519"/>
    </row>
    <row r="200" spans="1:9" hidden="1" outlineLevel="1" x14ac:dyDescent="0.2"/>
    <row r="201" spans="1:9" ht="38.25" hidden="1" outlineLevel="1" x14ac:dyDescent="0.2">
      <c r="A201" s="520" t="s">
        <v>193</v>
      </c>
      <c r="B201" s="520"/>
      <c r="C201" s="520"/>
      <c r="D201" s="521" t="s">
        <v>203</v>
      </c>
      <c r="E201" s="465"/>
      <c r="F201" s="465"/>
      <c r="G201" s="521" t="s">
        <v>204</v>
      </c>
      <c r="H201" s="465"/>
      <c r="I201" s="45" t="s">
        <v>198</v>
      </c>
    </row>
    <row r="202" spans="1:9" ht="30.6" hidden="1" customHeight="1" outlineLevel="1" x14ac:dyDescent="0.2">
      <c r="A202" s="512" t="s">
        <v>199</v>
      </c>
      <c r="B202" s="512"/>
      <c r="C202" s="512"/>
      <c r="D202" s="461" t="s">
        <v>208</v>
      </c>
      <c r="E202" s="512"/>
      <c r="F202" s="512"/>
      <c r="G202" s="513">
        <f>G185</f>
        <v>6788.0720660893603</v>
      </c>
      <c r="H202" s="512"/>
      <c r="I202" s="158">
        <f>TRUNC((1/300)*G202,2)</f>
        <v>22.62</v>
      </c>
    </row>
    <row r="203" spans="1:9" hidden="1" outlineLevel="1" x14ac:dyDescent="0.2">
      <c r="A203" s="465" t="s">
        <v>200</v>
      </c>
      <c r="B203" s="465"/>
      <c r="C203" s="465"/>
      <c r="D203" s="465"/>
      <c r="E203" s="465"/>
      <c r="F203" s="465"/>
      <c r="G203" s="465"/>
      <c r="H203" s="465"/>
      <c r="I203" s="159">
        <f>SUM(I202:I202)</f>
        <v>22.62</v>
      </c>
    </row>
    <row r="204" spans="1:9" hidden="1" outlineLevel="1" x14ac:dyDescent="0.2"/>
    <row r="205" spans="1:9" hidden="1" outlineLevel="1" x14ac:dyDescent="0.2">
      <c r="A205" s="454" t="s">
        <v>209</v>
      </c>
      <c r="B205" s="454"/>
      <c r="C205" s="454"/>
      <c r="D205" s="454"/>
      <c r="E205" s="454"/>
      <c r="F205" s="454"/>
      <c r="G205" s="454"/>
      <c r="H205" s="454"/>
      <c r="I205" s="454"/>
    </row>
    <row r="206" spans="1:9" hidden="1" outlineLevel="1" x14ac:dyDescent="0.2"/>
    <row r="207" spans="1:9" hidden="1" outlineLevel="1" x14ac:dyDescent="0.2">
      <c r="A207" s="532" t="s">
        <v>210</v>
      </c>
      <c r="B207" s="533"/>
      <c r="C207" s="533"/>
      <c r="D207" s="533"/>
      <c r="E207" s="533"/>
      <c r="F207" s="533"/>
      <c r="G207" s="533"/>
      <c r="H207" s="533"/>
      <c r="I207" s="534"/>
    </row>
    <row r="208" spans="1:9" hidden="1" outlineLevel="1" x14ac:dyDescent="0.2">
      <c r="A208" s="535"/>
      <c r="B208" s="536"/>
      <c r="C208" s="536"/>
      <c r="D208" s="536"/>
      <c r="E208" s="536"/>
      <c r="F208" s="536"/>
      <c r="G208" s="536"/>
      <c r="H208" s="536"/>
      <c r="I208" s="537"/>
    </row>
    <row r="209" spans="1:9" hidden="1" outlineLevel="1" x14ac:dyDescent="0.2"/>
    <row r="210" spans="1:9" ht="38.25" hidden="1" outlineLevel="1" x14ac:dyDescent="0.2">
      <c r="A210" s="520" t="s">
        <v>193</v>
      </c>
      <c r="B210" s="520"/>
      <c r="C210" s="520"/>
      <c r="D210" s="521" t="s">
        <v>203</v>
      </c>
      <c r="E210" s="465"/>
      <c r="F210" s="465"/>
      <c r="G210" s="521" t="s">
        <v>204</v>
      </c>
      <c r="H210" s="465"/>
      <c r="I210" s="45" t="s">
        <v>198</v>
      </c>
    </row>
    <row r="211" spans="1:9" ht="29.45" hidden="1" customHeight="1" outlineLevel="1" x14ac:dyDescent="0.2">
      <c r="A211" s="512" t="s">
        <v>199</v>
      </c>
      <c r="B211" s="512"/>
      <c r="C211" s="512"/>
      <c r="D211" s="461" t="s">
        <v>211</v>
      </c>
      <c r="E211" s="512"/>
      <c r="F211" s="512"/>
      <c r="G211" s="513">
        <f>G202</f>
        <v>6788.0720660893603</v>
      </c>
      <c r="H211" s="512"/>
      <c r="I211" s="158">
        <f>TRUNC((1/130)*G211/22,2)</f>
        <v>2.37</v>
      </c>
    </row>
    <row r="212" spans="1:9" hidden="1" outlineLevel="1" x14ac:dyDescent="0.2">
      <c r="A212" s="465" t="s">
        <v>200</v>
      </c>
      <c r="B212" s="465"/>
      <c r="C212" s="465"/>
      <c r="D212" s="465"/>
      <c r="E212" s="465"/>
      <c r="F212" s="465"/>
      <c r="G212" s="465"/>
      <c r="H212" s="465"/>
      <c r="I212" s="282">
        <f>SUM(I211:I211)</f>
        <v>2.37</v>
      </c>
    </row>
    <row r="213" spans="1:9" hidden="1" outlineLevel="1" x14ac:dyDescent="0.2"/>
    <row r="214" spans="1:9" hidden="1" outlineLevel="1" x14ac:dyDescent="0.2">
      <c r="A214" s="454" t="s">
        <v>212</v>
      </c>
      <c r="B214" s="454"/>
      <c r="C214" s="454"/>
      <c r="D214" s="454"/>
      <c r="E214" s="454"/>
      <c r="F214" s="454"/>
      <c r="G214" s="454"/>
      <c r="H214" s="454"/>
      <c r="I214" s="454"/>
    </row>
    <row r="215" spans="1:9" hidden="1" outlineLevel="1" x14ac:dyDescent="0.2"/>
    <row r="216" spans="1:9" hidden="1" outlineLevel="1" x14ac:dyDescent="0.2">
      <c r="A216" s="530" t="s">
        <v>213</v>
      </c>
      <c r="B216" s="531"/>
      <c r="C216" s="531"/>
      <c r="D216" s="531"/>
      <c r="E216" s="531"/>
      <c r="F216" s="531"/>
      <c r="G216" s="531"/>
      <c r="H216" s="531"/>
      <c r="I216" s="531"/>
    </row>
    <row r="217" spans="1:9" hidden="1" outlineLevel="1" x14ac:dyDescent="0.2"/>
    <row r="218" spans="1:9" hidden="1" outlineLevel="1" x14ac:dyDescent="0.2">
      <c r="A218" s="530" t="s">
        <v>214</v>
      </c>
      <c r="B218" s="531"/>
      <c r="C218" s="531"/>
      <c r="D218" s="531"/>
      <c r="E218" s="531"/>
      <c r="F218" s="531"/>
      <c r="G218" s="531"/>
      <c r="H218" s="531"/>
      <c r="I218" s="531"/>
    </row>
    <row r="219" spans="1:9" hidden="1" outlineLevel="1" x14ac:dyDescent="0.2">
      <c r="A219" s="252"/>
      <c r="B219" s="253"/>
      <c r="C219" s="253"/>
      <c r="D219" s="253"/>
      <c r="E219" s="253"/>
      <c r="F219" s="253"/>
      <c r="G219" s="253"/>
      <c r="H219" s="253"/>
      <c r="I219" s="253"/>
    </row>
    <row r="220" spans="1:9" hidden="1" outlineLevel="1" x14ac:dyDescent="0.2">
      <c r="A220" s="530" t="s">
        <v>215</v>
      </c>
      <c r="B220" s="531"/>
      <c r="C220" s="531"/>
      <c r="D220" s="531"/>
      <c r="E220" s="531"/>
      <c r="F220" s="531"/>
      <c r="G220" s="531"/>
      <c r="H220" s="531"/>
      <c r="I220" s="531"/>
    </row>
    <row r="221" spans="1:9" hidden="1" outlineLevel="1" x14ac:dyDescent="0.2"/>
    <row r="222" spans="1:9" hidden="1" outlineLevel="1" x14ac:dyDescent="0.2"/>
    <row r="223" spans="1:9" collapsed="1" x14ac:dyDescent="0.2"/>
    <row r="224" spans="1:9" s="32" customFormat="1" x14ac:dyDescent="0.2"/>
  </sheetData>
  <mergeCells count="278">
    <mergeCell ref="A218:I218"/>
    <mergeCell ref="A220:I220"/>
    <mergeCell ref="A211:C211"/>
    <mergeCell ref="D211:F211"/>
    <mergeCell ref="G211:H211"/>
    <mergeCell ref="A212:H212"/>
    <mergeCell ref="A214:I214"/>
    <mergeCell ref="A216:I216"/>
    <mergeCell ref="A203:H203"/>
    <mergeCell ref="A205:I205"/>
    <mergeCell ref="A207:I208"/>
    <mergeCell ref="A210:C210"/>
    <mergeCell ref="D210:F210"/>
    <mergeCell ref="G210:H210"/>
    <mergeCell ref="A201:C201"/>
    <mergeCell ref="D201:F201"/>
    <mergeCell ref="G201:H201"/>
    <mergeCell ref="A202:C202"/>
    <mergeCell ref="D202:F202"/>
    <mergeCell ref="G202:H202"/>
    <mergeCell ref="A193:C193"/>
    <mergeCell ref="D193:F193"/>
    <mergeCell ref="G193:H193"/>
    <mergeCell ref="A194:H194"/>
    <mergeCell ref="A196:I196"/>
    <mergeCell ref="A198:I199"/>
    <mergeCell ref="A185:C185"/>
    <mergeCell ref="G185:H185"/>
    <mergeCell ref="A186:H186"/>
    <mergeCell ref="A187:I187"/>
    <mergeCell ref="A189:I190"/>
    <mergeCell ref="A192:C192"/>
    <mergeCell ref="D192:F192"/>
    <mergeCell ref="G192:H192"/>
    <mergeCell ref="A175:G175"/>
    <mergeCell ref="H175:I175"/>
    <mergeCell ref="A179:I179"/>
    <mergeCell ref="A180:I180"/>
    <mergeCell ref="A181:I182"/>
    <mergeCell ref="A184:C184"/>
    <mergeCell ref="G184:H184"/>
    <mergeCell ref="B171:H171"/>
    <mergeCell ref="K171:P171"/>
    <mergeCell ref="A172:H172"/>
    <mergeCell ref="J172:P172"/>
    <mergeCell ref="A174:G174"/>
    <mergeCell ref="O174:P174"/>
    <mergeCell ref="B168:H168"/>
    <mergeCell ref="K168:P168"/>
    <mergeCell ref="B169:H169"/>
    <mergeCell ref="K169:P169"/>
    <mergeCell ref="B170:H170"/>
    <mergeCell ref="K170:P170"/>
    <mergeCell ref="B165:H165"/>
    <mergeCell ref="K165:P165"/>
    <mergeCell ref="B166:H166"/>
    <mergeCell ref="K166:P166"/>
    <mergeCell ref="B167:H167"/>
    <mergeCell ref="K167:P167"/>
    <mergeCell ref="A158:G158"/>
    <mergeCell ref="J158:P158"/>
    <mergeCell ref="A163:I163"/>
    <mergeCell ref="J163:P163"/>
    <mergeCell ref="A164:H164"/>
    <mergeCell ref="J164:P164"/>
    <mergeCell ref="B155:G155"/>
    <mergeCell ref="K155:P155"/>
    <mergeCell ref="B156:G156"/>
    <mergeCell ref="K156:P156"/>
    <mergeCell ref="B157:G157"/>
    <mergeCell ref="K157:P157"/>
    <mergeCell ref="B152:G152"/>
    <mergeCell ref="K152:P152"/>
    <mergeCell ref="B153:G153"/>
    <mergeCell ref="K153:P153"/>
    <mergeCell ref="B154:G154"/>
    <mergeCell ref="K154:P154"/>
    <mergeCell ref="A146:G146"/>
    <mergeCell ref="J146:P146"/>
    <mergeCell ref="A150:I150"/>
    <mergeCell ref="J150:P150"/>
    <mergeCell ref="B151:G151"/>
    <mergeCell ref="K151:P151"/>
    <mergeCell ref="B143:G143"/>
    <mergeCell ref="K143:P143"/>
    <mergeCell ref="B144:G144"/>
    <mergeCell ref="K144:P144"/>
    <mergeCell ref="B145:G145"/>
    <mergeCell ref="K145:P145"/>
    <mergeCell ref="A140:I140"/>
    <mergeCell ref="J140:P140"/>
    <mergeCell ref="B141:G141"/>
    <mergeCell ref="K141:P141"/>
    <mergeCell ref="B142:G142"/>
    <mergeCell ref="K142:P142"/>
    <mergeCell ref="B137:G137"/>
    <mergeCell ref="K137:P137"/>
    <mergeCell ref="A138:H138"/>
    <mergeCell ref="J138:P138"/>
    <mergeCell ref="A139:I139"/>
    <mergeCell ref="J139:P139"/>
    <mergeCell ref="A134:I134"/>
    <mergeCell ref="J134:P134"/>
    <mergeCell ref="B135:G135"/>
    <mergeCell ref="K135:P135"/>
    <mergeCell ref="B136:G136"/>
    <mergeCell ref="K136:P136"/>
    <mergeCell ref="B130:G130"/>
    <mergeCell ref="K130:P130"/>
    <mergeCell ref="B131:G131"/>
    <mergeCell ref="K131:P131"/>
    <mergeCell ref="A132:G132"/>
    <mergeCell ref="J132:P132"/>
    <mergeCell ref="A126:G126"/>
    <mergeCell ref="J126:P126"/>
    <mergeCell ref="B127:G127"/>
    <mergeCell ref="K127:P127"/>
    <mergeCell ref="A128:G128"/>
    <mergeCell ref="J128:P128"/>
    <mergeCell ref="B123:G123"/>
    <mergeCell ref="K123:P123"/>
    <mergeCell ref="B124:G124"/>
    <mergeCell ref="K124:P124"/>
    <mergeCell ref="B125:G125"/>
    <mergeCell ref="K125:P125"/>
    <mergeCell ref="B120:G120"/>
    <mergeCell ref="K120:P120"/>
    <mergeCell ref="B121:G121"/>
    <mergeCell ref="K121:P121"/>
    <mergeCell ref="B122:G122"/>
    <mergeCell ref="K122:P122"/>
    <mergeCell ref="A113:I113"/>
    <mergeCell ref="J113:P113"/>
    <mergeCell ref="A114:I114"/>
    <mergeCell ref="J114:P114"/>
    <mergeCell ref="B119:G119"/>
    <mergeCell ref="K119:P119"/>
    <mergeCell ref="B110:G110"/>
    <mergeCell ref="K110:P110"/>
    <mergeCell ref="B111:G111"/>
    <mergeCell ref="K111:P111"/>
    <mergeCell ref="A112:G112"/>
    <mergeCell ref="J112:P112"/>
    <mergeCell ref="B107:G107"/>
    <mergeCell ref="K107:P107"/>
    <mergeCell ref="B108:G108"/>
    <mergeCell ref="K108:P108"/>
    <mergeCell ref="B109:G109"/>
    <mergeCell ref="K109:P109"/>
    <mergeCell ref="A104:I104"/>
    <mergeCell ref="J104:P104"/>
    <mergeCell ref="B105:G105"/>
    <mergeCell ref="K105:P105"/>
    <mergeCell ref="B106:G106"/>
    <mergeCell ref="K106:P106"/>
    <mergeCell ref="B101:H101"/>
    <mergeCell ref="K101:P101"/>
    <mergeCell ref="A102:H102"/>
    <mergeCell ref="J102:P102"/>
    <mergeCell ref="A103:I103"/>
    <mergeCell ref="J103:P103"/>
    <mergeCell ref="A98:H98"/>
    <mergeCell ref="J98:P98"/>
    <mergeCell ref="B99:H99"/>
    <mergeCell ref="K99:P99"/>
    <mergeCell ref="B100:H100"/>
    <mergeCell ref="K100:P100"/>
    <mergeCell ref="B88:G88"/>
    <mergeCell ref="K88:P88"/>
    <mergeCell ref="B89:G89"/>
    <mergeCell ref="K89:P89"/>
    <mergeCell ref="A90:H90"/>
    <mergeCell ref="J90:P90"/>
    <mergeCell ref="B85:G85"/>
    <mergeCell ref="K85:P85"/>
    <mergeCell ref="B86:G86"/>
    <mergeCell ref="K86:P86"/>
    <mergeCell ref="B87:G87"/>
    <mergeCell ref="K87:P87"/>
    <mergeCell ref="A75:G75"/>
    <mergeCell ref="J75:P75"/>
    <mergeCell ref="B83:G83"/>
    <mergeCell ref="K83:P83"/>
    <mergeCell ref="B84:G84"/>
    <mergeCell ref="K84:P84"/>
    <mergeCell ref="B72:G72"/>
    <mergeCell ref="K72:P72"/>
    <mergeCell ref="B73:G73"/>
    <mergeCell ref="K73:P73"/>
    <mergeCell ref="B74:G74"/>
    <mergeCell ref="K74:P74"/>
    <mergeCell ref="B69:G69"/>
    <mergeCell ref="K69:P69"/>
    <mergeCell ref="B70:G70"/>
    <mergeCell ref="K70:P70"/>
    <mergeCell ref="B71:G71"/>
    <mergeCell ref="K71:P71"/>
    <mergeCell ref="B66:G66"/>
    <mergeCell ref="K66:P66"/>
    <mergeCell ref="B67:G67"/>
    <mergeCell ref="K67:P67"/>
    <mergeCell ref="B68:G68"/>
    <mergeCell ref="K68:P68"/>
    <mergeCell ref="A54:G54"/>
    <mergeCell ref="J54:P54"/>
    <mergeCell ref="B55:G55"/>
    <mergeCell ref="K55:P55"/>
    <mergeCell ref="A56:G56"/>
    <mergeCell ref="J56:P56"/>
    <mergeCell ref="B51:G51"/>
    <mergeCell ref="K51:P51"/>
    <mergeCell ref="B52:G52"/>
    <mergeCell ref="K52:P52"/>
    <mergeCell ref="B53:G53"/>
    <mergeCell ref="K53:P53"/>
    <mergeCell ref="B44:G44"/>
    <mergeCell ref="K44:P44"/>
    <mergeCell ref="A45:H45"/>
    <mergeCell ref="J45:P45"/>
    <mergeCell ref="A50:I50"/>
    <mergeCell ref="J50:P50"/>
    <mergeCell ref="B41:G41"/>
    <mergeCell ref="K41:P41"/>
    <mergeCell ref="B42:G42"/>
    <mergeCell ref="K42:P42"/>
    <mergeCell ref="B43:G43"/>
    <mergeCell ref="K43:P43"/>
    <mergeCell ref="B38:G38"/>
    <mergeCell ref="K38:P38"/>
    <mergeCell ref="B39:G39"/>
    <mergeCell ref="K39:P39"/>
    <mergeCell ref="B40:G40"/>
    <mergeCell ref="K40:P40"/>
    <mergeCell ref="B31:H31"/>
    <mergeCell ref="K31:P31"/>
    <mergeCell ref="B32:H32"/>
    <mergeCell ref="K32:P32"/>
    <mergeCell ref="A37:I37"/>
    <mergeCell ref="J37:P37"/>
    <mergeCell ref="B28:H28"/>
    <mergeCell ref="K28:P28"/>
    <mergeCell ref="B29:H29"/>
    <mergeCell ref="K29:P29"/>
    <mergeCell ref="B30:H30"/>
    <mergeCell ref="K30:P30"/>
    <mergeCell ref="A27:I27"/>
    <mergeCell ref="J27:P27"/>
    <mergeCell ref="A14:I14"/>
    <mergeCell ref="J14:P14"/>
    <mergeCell ref="A15:B15"/>
    <mergeCell ref="C15:D15"/>
    <mergeCell ref="E15:I15"/>
    <mergeCell ref="J15:K15"/>
    <mergeCell ref="L15:M15"/>
    <mergeCell ref="N15:P15"/>
    <mergeCell ref="B12:H12"/>
    <mergeCell ref="K12:P12"/>
    <mergeCell ref="A6:F6"/>
    <mergeCell ref="J6:O6"/>
    <mergeCell ref="A8:I8"/>
    <mergeCell ref="J8:P8"/>
    <mergeCell ref="B9:H9"/>
    <mergeCell ref="K9:P9"/>
    <mergeCell ref="A16:B16"/>
    <mergeCell ref="C16:D16"/>
    <mergeCell ref="E16:H16"/>
    <mergeCell ref="J16:K16"/>
    <mergeCell ref="L16:M16"/>
    <mergeCell ref="A1:I1"/>
    <mergeCell ref="J1:P1"/>
    <mergeCell ref="A3:F3"/>
    <mergeCell ref="J3:O3"/>
    <mergeCell ref="A4:F4"/>
    <mergeCell ref="J4:O4"/>
    <mergeCell ref="B10:H10"/>
    <mergeCell ref="K10:P10"/>
    <mergeCell ref="B11:H11"/>
    <mergeCell ref="K11:P11"/>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66FF33"/>
  </sheetPr>
  <dimension ref="A1:R195"/>
  <sheetViews>
    <sheetView zoomScaleNormal="100" workbookViewId="0">
      <selection sqref="A1:I1"/>
    </sheetView>
  </sheetViews>
  <sheetFormatPr defaultRowHeight="12.75" x14ac:dyDescent="0.2"/>
  <cols>
    <col min="1" max="1" width="7.7109375" customWidth="1"/>
    <col min="2" max="2" width="15.28515625" customWidth="1"/>
    <col min="3" max="4" width="20.5703125" customWidth="1"/>
    <col min="5" max="5" width="17.7109375" customWidth="1"/>
    <col min="6" max="6" width="12.85546875" customWidth="1"/>
    <col min="7" max="7" width="12.140625" customWidth="1"/>
    <col min="8" max="8" width="17.42578125" customWidth="1"/>
    <col min="9" max="9" width="21.85546875" customWidth="1"/>
    <col min="10" max="10" width="17.28515625" hidden="1" customWidth="1"/>
    <col min="11" max="16" width="0" hidden="1" customWidth="1"/>
    <col min="18" max="18" width="33.42578125" customWidth="1"/>
  </cols>
  <sheetData>
    <row r="1" spans="1:16" ht="18" x14ac:dyDescent="0.2">
      <c r="A1" s="557" t="s">
        <v>532</v>
      </c>
      <c r="B1" s="558"/>
      <c r="C1" s="558"/>
      <c r="D1" s="558"/>
      <c r="E1" s="558"/>
      <c r="F1" s="558"/>
      <c r="G1" s="558"/>
      <c r="H1" s="558"/>
      <c r="I1" s="559"/>
    </row>
    <row r="2" spans="1:16" ht="75" x14ac:dyDescent="0.2">
      <c r="A2" s="560" t="s">
        <v>533</v>
      </c>
      <c r="B2" s="561"/>
      <c r="C2" s="562"/>
      <c r="D2" s="427" t="s">
        <v>534</v>
      </c>
      <c r="E2" s="427" t="s">
        <v>535</v>
      </c>
      <c r="F2" s="427" t="s">
        <v>536</v>
      </c>
      <c r="G2" s="428" t="s">
        <v>537</v>
      </c>
      <c r="H2" s="428" t="s">
        <v>538</v>
      </c>
      <c r="I2" s="429" t="s">
        <v>539</v>
      </c>
    </row>
    <row r="3" spans="1:16" ht="15" x14ac:dyDescent="0.25">
      <c r="A3" s="80" t="s">
        <v>540</v>
      </c>
      <c r="B3" s="84"/>
      <c r="C3" s="233"/>
      <c r="D3" s="430">
        <v>46008</v>
      </c>
      <c r="E3" s="431">
        <v>0.26</v>
      </c>
      <c r="F3" s="431">
        <f>(SUM($E$3:$E$1048576)-E3)/(COUNT($E$3:$E$1048576)-1)</f>
        <v>0.26419999999999999</v>
      </c>
      <c r="G3" s="432">
        <f>E3/F3</f>
        <v>0.98410295230885703</v>
      </c>
      <c r="H3" s="563">
        <f>TRUNC(AVERAGE(E3:E4),2)</f>
        <v>0.26</v>
      </c>
      <c r="I3" s="433" t="s">
        <v>541</v>
      </c>
    </row>
    <row r="4" spans="1:16" ht="15" x14ac:dyDescent="0.25">
      <c r="A4" s="564" t="s">
        <v>542</v>
      </c>
      <c r="B4" s="565"/>
      <c r="C4" s="566"/>
      <c r="D4" s="430">
        <v>46008</v>
      </c>
      <c r="E4" s="431">
        <v>0.26419999999999999</v>
      </c>
      <c r="F4" s="431">
        <f>(SUM($E$3:$E$1048576)-E4)/(COUNT($E$3:$E$1048576)-1)</f>
        <v>0.26</v>
      </c>
      <c r="G4" s="432">
        <f t="shared" ref="G4" si="0">E4/F4</f>
        <v>1.0161538461538462</v>
      </c>
      <c r="H4" s="563"/>
      <c r="I4" s="433" t="s">
        <v>541</v>
      </c>
    </row>
    <row r="7" spans="1:16" hidden="1" x14ac:dyDescent="0.2"/>
    <row r="8" spans="1:16" hidden="1" x14ac:dyDescent="0.2"/>
    <row r="9" spans="1:16" hidden="1" x14ac:dyDescent="0.2"/>
    <row r="10" spans="1:16" hidden="1" x14ac:dyDescent="0.2"/>
    <row r="11" spans="1:16" hidden="1" x14ac:dyDescent="0.2"/>
    <row r="12" spans="1:16" hidden="1" x14ac:dyDescent="0.2"/>
    <row r="13" spans="1:16" ht="13.5" hidden="1" thickBot="1" x14ac:dyDescent="0.25"/>
    <row r="14" spans="1:16" ht="13.5" hidden="1" thickBot="1" x14ac:dyDescent="0.25">
      <c r="A14" s="448" t="s">
        <v>32</v>
      </c>
      <c r="B14" s="449"/>
      <c r="C14" s="449"/>
      <c r="D14" s="449"/>
      <c r="E14" s="449"/>
      <c r="F14" s="449"/>
      <c r="G14" s="449"/>
      <c r="H14" s="449"/>
      <c r="I14" s="450"/>
      <c r="J14" s="448"/>
      <c r="K14" s="449"/>
      <c r="L14" s="449"/>
      <c r="M14" s="449"/>
      <c r="N14" s="449"/>
      <c r="O14" s="449"/>
      <c r="P14" s="449"/>
    </row>
    <row r="15" spans="1:16" hidden="1" x14ac:dyDescent="0.2">
      <c r="A15" s="287"/>
      <c r="B15" s="233"/>
      <c r="C15" s="233"/>
      <c r="D15" s="233"/>
      <c r="E15" s="233"/>
      <c r="F15" s="233"/>
      <c r="G15" s="233"/>
      <c r="H15" s="233"/>
      <c r="I15" s="288"/>
      <c r="J15" s="287"/>
      <c r="K15" s="233"/>
      <c r="L15" s="233"/>
      <c r="M15" s="233"/>
      <c r="N15" s="233"/>
      <c r="O15" s="233"/>
      <c r="P15" s="233"/>
    </row>
    <row r="16" spans="1:16" ht="15" hidden="1" customHeight="1" x14ac:dyDescent="0.2">
      <c r="A16" s="556" t="s">
        <v>216</v>
      </c>
      <c r="B16" s="452"/>
      <c r="C16" s="452"/>
      <c r="D16" s="452"/>
      <c r="E16" s="452"/>
      <c r="F16" s="452"/>
      <c r="G16" s="233"/>
      <c r="H16" s="233"/>
      <c r="I16" s="288"/>
      <c r="J16" s="453"/>
      <c r="K16" s="452"/>
      <c r="L16" s="452"/>
      <c r="M16" s="452"/>
      <c r="N16" s="452"/>
      <c r="O16" s="452"/>
      <c r="P16" s="233"/>
    </row>
    <row r="17" spans="1:16" ht="15" hidden="1" customHeight="1" x14ac:dyDescent="0.2">
      <c r="A17" s="453" t="s">
        <v>34</v>
      </c>
      <c r="B17" s="452"/>
      <c r="C17" s="452"/>
      <c r="D17" s="452"/>
      <c r="E17" s="452"/>
      <c r="F17" s="452"/>
      <c r="G17" s="233"/>
      <c r="H17" s="233"/>
      <c r="I17" s="288"/>
      <c r="J17" s="453"/>
      <c r="K17" s="452"/>
      <c r="L17" s="452"/>
      <c r="M17" s="452"/>
      <c r="N17" s="452"/>
      <c r="O17" s="452"/>
      <c r="P17" s="233"/>
    </row>
    <row r="18" spans="1:16" hidden="1" x14ac:dyDescent="0.2">
      <c r="A18" s="59"/>
      <c r="B18" s="9"/>
      <c r="C18" s="9"/>
      <c r="D18" s="9"/>
      <c r="E18" s="9"/>
      <c r="F18" s="9"/>
      <c r="G18" s="9"/>
      <c r="H18" s="9"/>
      <c r="I18" s="97"/>
      <c r="J18" s="59"/>
      <c r="K18" s="9"/>
      <c r="L18" s="9"/>
      <c r="M18" s="9"/>
      <c r="N18" s="9"/>
      <c r="O18" s="9"/>
      <c r="P18" s="9"/>
    </row>
    <row r="19" spans="1:16" hidden="1" x14ac:dyDescent="0.2">
      <c r="A19" s="453" t="s">
        <v>35</v>
      </c>
      <c r="B19" s="452"/>
      <c r="C19" s="452"/>
      <c r="D19" s="452"/>
      <c r="E19" s="452"/>
      <c r="F19" s="452"/>
      <c r="G19" s="9"/>
      <c r="H19" s="9"/>
      <c r="I19" s="97"/>
      <c r="J19" s="453"/>
      <c r="K19" s="452"/>
      <c r="L19" s="452"/>
      <c r="M19" s="452"/>
      <c r="N19" s="452"/>
      <c r="O19" s="452"/>
      <c r="P19" s="9"/>
    </row>
    <row r="20" spans="1:16" hidden="1" x14ac:dyDescent="0.2">
      <c r="A20" s="289"/>
      <c r="B20" s="234"/>
      <c r="C20" s="234"/>
      <c r="D20" s="234"/>
      <c r="E20" s="234"/>
      <c r="F20" s="234"/>
      <c r="G20" s="234"/>
      <c r="H20" s="234"/>
      <c r="I20" s="290"/>
      <c r="J20" s="289"/>
      <c r="K20" s="234"/>
      <c r="L20" s="234"/>
      <c r="M20" s="234"/>
      <c r="N20" s="234"/>
      <c r="O20" s="234"/>
      <c r="P20" s="234"/>
    </row>
    <row r="21" spans="1:16" hidden="1" x14ac:dyDescent="0.2">
      <c r="A21" s="456" t="s">
        <v>36</v>
      </c>
      <c r="B21" s="457"/>
      <c r="C21" s="457"/>
      <c r="D21" s="457"/>
      <c r="E21" s="457"/>
      <c r="F21" s="457"/>
      <c r="G21" s="457"/>
      <c r="H21" s="457"/>
      <c r="I21" s="458"/>
      <c r="J21" s="456"/>
      <c r="K21" s="457"/>
      <c r="L21" s="457"/>
      <c r="M21" s="457"/>
      <c r="N21" s="457"/>
      <c r="O21" s="457"/>
      <c r="P21" s="457"/>
    </row>
    <row r="22" spans="1:16" hidden="1" x14ac:dyDescent="0.2">
      <c r="A22" s="292" t="s">
        <v>37</v>
      </c>
      <c r="B22" s="454" t="s">
        <v>38</v>
      </c>
      <c r="C22" s="455"/>
      <c r="D22" s="455"/>
      <c r="E22" s="455"/>
      <c r="F22" s="455"/>
      <c r="G22" s="455"/>
      <c r="H22" s="455"/>
      <c r="I22" s="293">
        <f>'Limpeza - Item 5'!I9</f>
        <v>0</v>
      </c>
      <c r="J22" s="292"/>
      <c r="K22" s="454"/>
      <c r="L22" s="455"/>
      <c r="M22" s="455"/>
      <c r="N22" s="455"/>
      <c r="O22" s="455"/>
      <c r="P22" s="455"/>
    </row>
    <row r="23" spans="1:16" hidden="1" x14ac:dyDescent="0.2">
      <c r="A23" s="292" t="s">
        <v>39</v>
      </c>
      <c r="B23" s="454" t="s">
        <v>40</v>
      </c>
      <c r="C23" s="455"/>
      <c r="D23" s="455"/>
      <c r="E23" s="455"/>
      <c r="F23" s="455"/>
      <c r="G23" s="455"/>
      <c r="H23" s="455"/>
      <c r="I23" s="294" t="s">
        <v>543</v>
      </c>
      <c r="J23" s="292"/>
      <c r="K23" s="454"/>
      <c r="L23" s="455"/>
      <c r="M23" s="455"/>
      <c r="N23" s="455"/>
      <c r="O23" s="455"/>
      <c r="P23" s="455"/>
    </row>
    <row r="24" spans="1:16" hidden="1" x14ac:dyDescent="0.2">
      <c r="A24" s="292" t="s">
        <v>41</v>
      </c>
      <c r="B24" s="454" t="s">
        <v>42</v>
      </c>
      <c r="C24" s="454"/>
      <c r="D24" s="454"/>
      <c r="E24" s="454"/>
      <c r="F24" s="454"/>
      <c r="G24" s="454"/>
      <c r="H24" s="454"/>
      <c r="I24" s="294" t="s">
        <v>544</v>
      </c>
      <c r="J24" s="292"/>
      <c r="K24" s="454"/>
      <c r="L24" s="454"/>
      <c r="M24" s="454"/>
      <c r="N24" s="454"/>
      <c r="O24" s="454"/>
      <c r="P24" s="454"/>
    </row>
    <row r="25" spans="1:16" hidden="1" x14ac:dyDescent="0.2">
      <c r="A25" s="292" t="s">
        <v>44</v>
      </c>
      <c r="B25" s="454" t="s">
        <v>45</v>
      </c>
      <c r="C25" s="455"/>
      <c r="D25" s="455"/>
      <c r="E25" s="455"/>
      <c r="F25" s="455"/>
      <c r="G25" s="455"/>
      <c r="H25" s="455"/>
      <c r="I25" s="295">
        <v>60</v>
      </c>
      <c r="J25" s="292"/>
      <c r="K25" s="454"/>
      <c r="L25" s="455"/>
      <c r="M25" s="455"/>
      <c r="N25" s="455"/>
      <c r="O25" s="455"/>
      <c r="P25" s="455"/>
    </row>
    <row r="26" spans="1:16" hidden="1" x14ac:dyDescent="0.2">
      <c r="A26" s="287"/>
      <c r="B26" s="234"/>
      <c r="C26" s="234"/>
      <c r="D26" s="234"/>
      <c r="E26" s="234"/>
      <c r="F26" s="234"/>
      <c r="G26" s="234"/>
      <c r="H26" s="233"/>
      <c r="I26" s="288"/>
      <c r="J26" s="287"/>
      <c r="K26" s="234"/>
      <c r="L26" s="234"/>
      <c r="M26" s="234"/>
      <c r="N26" s="234"/>
      <c r="O26" s="234"/>
      <c r="P26" s="234"/>
    </row>
    <row r="27" spans="1:16" hidden="1" x14ac:dyDescent="0.2">
      <c r="A27" s="456" t="s">
        <v>46</v>
      </c>
      <c r="B27" s="457"/>
      <c r="C27" s="457"/>
      <c r="D27" s="457"/>
      <c r="E27" s="457"/>
      <c r="F27" s="457"/>
      <c r="G27" s="457"/>
      <c r="H27" s="457"/>
      <c r="I27" s="458"/>
      <c r="J27" s="456"/>
      <c r="K27" s="457"/>
      <c r="L27" s="457"/>
      <c r="M27" s="457"/>
      <c r="N27" s="457"/>
      <c r="O27" s="457"/>
      <c r="P27" s="457"/>
    </row>
    <row r="28" spans="1:16" hidden="1" x14ac:dyDescent="0.2">
      <c r="A28" s="464" t="s">
        <v>47</v>
      </c>
      <c r="B28" s="465"/>
      <c r="C28" s="465" t="s">
        <v>48</v>
      </c>
      <c r="D28" s="465"/>
      <c r="E28" s="466" t="s">
        <v>49</v>
      </c>
      <c r="F28" s="466"/>
      <c r="G28" s="466"/>
      <c r="H28" s="466"/>
      <c r="I28" s="467"/>
      <c r="J28" s="464"/>
      <c r="K28" s="465"/>
      <c r="L28" s="465"/>
      <c r="M28" s="465"/>
      <c r="N28" s="465"/>
      <c r="O28" s="465"/>
      <c r="P28" s="465"/>
    </row>
    <row r="29" spans="1:16" s="41" customFormat="1" ht="25.5" hidden="1" customHeight="1" x14ac:dyDescent="0.2">
      <c r="A29" s="459" t="s">
        <v>217</v>
      </c>
      <c r="B29" s="460"/>
      <c r="C29" s="461" t="s">
        <v>51</v>
      </c>
      <c r="D29" s="462"/>
      <c r="E29" s="463" t="s">
        <v>18</v>
      </c>
      <c r="F29" s="463"/>
      <c r="G29" s="463"/>
      <c r="H29" s="463"/>
      <c r="I29" s="344">
        <v>1</v>
      </c>
      <c r="J29" s="459"/>
      <c r="K29" s="460"/>
      <c r="L29" s="461"/>
      <c r="M29" s="460"/>
      <c r="O29" s="286"/>
      <c r="P29" s="286"/>
    </row>
    <row r="30" spans="1:16" ht="15" hidden="1" customHeight="1" x14ac:dyDescent="0.2">
      <c r="A30" s="298"/>
      <c r="B30" s="235"/>
      <c r="C30" s="31"/>
      <c r="D30" s="236"/>
      <c r="E30" s="32"/>
      <c r="F30" s="237"/>
      <c r="G30" s="237"/>
      <c r="H30" s="237"/>
      <c r="I30" s="299"/>
      <c r="J30" s="298"/>
      <c r="K30" s="235"/>
      <c r="L30" s="31"/>
      <c r="M30" s="236"/>
      <c r="N30" s="32"/>
      <c r="O30" s="237"/>
      <c r="P30" s="237"/>
    </row>
    <row r="31" spans="1:16" ht="15" hidden="1" customHeight="1" x14ac:dyDescent="0.2">
      <c r="A31" s="300" t="s">
        <v>52</v>
      </c>
      <c r="B31" s="235"/>
      <c r="C31" s="31"/>
      <c r="D31" s="236"/>
      <c r="E31" s="32"/>
      <c r="F31" s="237"/>
      <c r="G31" s="237"/>
      <c r="H31" s="237"/>
      <c r="I31" s="299"/>
      <c r="J31" s="300"/>
      <c r="K31" s="235"/>
      <c r="L31" s="31"/>
      <c r="M31" s="236"/>
      <c r="N31" s="32"/>
      <c r="O31" s="237"/>
      <c r="P31" s="237"/>
    </row>
    <row r="32" spans="1:16" ht="15" hidden="1" customHeight="1" x14ac:dyDescent="0.2">
      <c r="A32" s="300" t="s">
        <v>53</v>
      </c>
      <c r="B32" s="235"/>
      <c r="C32" s="31"/>
      <c r="D32" s="236"/>
      <c r="E32" s="32"/>
      <c r="F32" s="237"/>
      <c r="G32" s="237"/>
      <c r="H32" s="237"/>
      <c r="I32" s="299"/>
      <c r="J32" s="300"/>
      <c r="K32" s="235"/>
      <c r="L32" s="31"/>
      <c r="M32" s="236"/>
      <c r="N32" s="32"/>
      <c r="O32" s="237"/>
      <c r="P32" s="237"/>
    </row>
    <row r="33" spans="1:16" ht="15" hidden="1" customHeight="1" x14ac:dyDescent="0.2">
      <c r="A33" s="300" t="s">
        <v>54</v>
      </c>
      <c r="B33" s="235"/>
      <c r="C33" s="31"/>
      <c r="D33" s="236"/>
      <c r="E33" s="32"/>
      <c r="F33" s="237"/>
      <c r="G33" s="237"/>
      <c r="H33" s="237"/>
      <c r="I33" s="299"/>
      <c r="J33" s="300"/>
      <c r="K33" s="235"/>
      <c r="L33" s="31"/>
      <c r="M33" s="236"/>
      <c r="N33" s="32"/>
      <c r="O33" s="237"/>
      <c r="P33" s="237"/>
    </row>
    <row r="34" spans="1:16" ht="15" hidden="1" customHeight="1" x14ac:dyDescent="0.2">
      <c r="A34" s="300" t="s">
        <v>55</v>
      </c>
      <c r="B34" s="235"/>
      <c r="C34" s="31"/>
      <c r="D34" s="236"/>
      <c r="E34" s="32"/>
      <c r="F34" s="237"/>
      <c r="G34" s="237"/>
      <c r="H34" s="237"/>
      <c r="I34" s="299"/>
      <c r="J34" s="300"/>
      <c r="K34" s="235"/>
      <c r="L34" s="31"/>
      <c r="M34" s="236"/>
      <c r="N34" s="32"/>
      <c r="O34" s="237"/>
      <c r="P34" s="237"/>
    </row>
    <row r="35" spans="1:16" ht="15" hidden="1" customHeight="1" x14ac:dyDescent="0.2">
      <c r="A35" s="301"/>
      <c r="B35" s="235"/>
      <c r="C35" s="31"/>
      <c r="D35" s="236"/>
      <c r="E35" s="32"/>
      <c r="F35" s="237"/>
      <c r="G35" s="237"/>
      <c r="H35" s="237"/>
      <c r="I35" s="302"/>
      <c r="J35" s="301"/>
      <c r="K35" s="235"/>
      <c r="L35" s="31"/>
      <c r="M35" s="236"/>
      <c r="N35" s="32"/>
      <c r="O35" s="237"/>
      <c r="P35" s="237"/>
    </row>
    <row r="36" spans="1:16" ht="15" hidden="1" customHeight="1" x14ac:dyDescent="0.2">
      <c r="A36" s="303" t="s">
        <v>56</v>
      </c>
      <c r="B36" s="235"/>
      <c r="C36" s="31"/>
      <c r="D36" s="236"/>
      <c r="E36" s="32"/>
      <c r="F36" s="237"/>
      <c r="G36" s="237"/>
      <c r="H36" s="237"/>
      <c r="I36" s="299"/>
      <c r="J36" s="303"/>
      <c r="K36" s="235"/>
      <c r="L36" s="31"/>
      <c r="M36" s="236"/>
      <c r="N36" s="32"/>
      <c r="O36" s="237"/>
      <c r="P36" s="237"/>
    </row>
    <row r="37" spans="1:16" ht="15" hidden="1" customHeight="1" x14ac:dyDescent="0.2">
      <c r="A37" s="298"/>
      <c r="B37" s="235"/>
      <c r="C37" s="31"/>
      <c r="D37" s="236"/>
      <c r="E37" s="32"/>
      <c r="F37" s="237"/>
      <c r="G37" s="237"/>
      <c r="H37" s="237"/>
      <c r="I37" s="299"/>
      <c r="J37" s="298"/>
      <c r="K37" s="235"/>
      <c r="L37" s="31"/>
      <c r="M37" s="236"/>
      <c r="N37" s="32"/>
      <c r="O37" s="237"/>
      <c r="P37" s="237"/>
    </row>
    <row r="38" spans="1:16" ht="15" hidden="1" customHeight="1" x14ac:dyDescent="0.2">
      <c r="A38" s="303" t="s">
        <v>57</v>
      </c>
      <c r="B38" s="235"/>
      <c r="C38" s="31"/>
      <c r="D38" s="236"/>
      <c r="E38" s="32"/>
      <c r="F38" s="237"/>
      <c r="G38" s="237"/>
      <c r="H38" s="237"/>
      <c r="I38" s="299"/>
      <c r="J38" s="303"/>
      <c r="K38" s="235"/>
      <c r="L38" s="31"/>
      <c r="M38" s="236"/>
      <c r="N38" s="32"/>
      <c r="O38" s="237"/>
      <c r="P38" s="237"/>
    </row>
    <row r="39" spans="1:16" ht="15" hidden="1" customHeight="1" x14ac:dyDescent="0.2">
      <c r="A39" s="300" t="s">
        <v>58</v>
      </c>
      <c r="B39" s="235"/>
      <c r="C39" s="31"/>
      <c r="D39" s="236"/>
      <c r="E39" s="32"/>
      <c r="F39" s="237"/>
      <c r="G39" s="237"/>
      <c r="H39" s="237"/>
      <c r="I39" s="299"/>
      <c r="J39" s="300"/>
      <c r="K39" s="235"/>
      <c r="L39" s="31"/>
      <c r="M39" s="236"/>
      <c r="N39" s="32"/>
      <c r="O39" s="237"/>
      <c r="P39" s="237"/>
    </row>
    <row r="40" spans="1:16" hidden="1" x14ac:dyDescent="0.2">
      <c r="A40" s="456" t="s">
        <v>59</v>
      </c>
      <c r="B40" s="457"/>
      <c r="C40" s="457"/>
      <c r="D40" s="457"/>
      <c r="E40" s="457"/>
      <c r="F40" s="457"/>
      <c r="G40" s="457"/>
      <c r="H40" s="457"/>
      <c r="I40" s="458"/>
      <c r="J40" s="456"/>
      <c r="K40" s="457"/>
      <c r="L40" s="457"/>
      <c r="M40" s="457"/>
      <c r="N40" s="457"/>
      <c r="O40" s="457"/>
      <c r="P40" s="457"/>
    </row>
    <row r="41" spans="1:16" hidden="1" x14ac:dyDescent="0.2">
      <c r="A41" s="304">
        <v>1</v>
      </c>
      <c r="B41" s="468" t="s">
        <v>60</v>
      </c>
      <c r="C41" s="468"/>
      <c r="D41" s="468"/>
      <c r="E41" s="468"/>
      <c r="F41" s="468"/>
      <c r="G41" s="468"/>
      <c r="H41" s="468"/>
      <c r="I41" s="305" t="str">
        <f>A29</f>
        <v>Controle de pragas</v>
      </c>
      <c r="J41" s="304"/>
      <c r="K41" s="468"/>
      <c r="L41" s="468"/>
      <c r="M41" s="468"/>
      <c r="N41" s="468"/>
      <c r="O41" s="468"/>
      <c r="P41" s="468"/>
    </row>
    <row r="42" spans="1:16" hidden="1" x14ac:dyDescent="0.2">
      <c r="A42" s="292">
        <v>2</v>
      </c>
      <c r="B42" s="454" t="s">
        <v>61</v>
      </c>
      <c r="C42" s="454"/>
      <c r="D42" s="454"/>
      <c r="E42" s="454"/>
      <c r="F42" s="454"/>
      <c r="G42" s="454"/>
      <c r="H42" s="454"/>
      <c r="I42" s="306" t="s">
        <v>218</v>
      </c>
      <c r="J42" s="292"/>
      <c r="K42" s="454"/>
      <c r="L42" s="454"/>
      <c r="M42" s="454"/>
      <c r="N42" s="454"/>
      <c r="O42" s="454"/>
      <c r="P42" s="454"/>
    </row>
    <row r="43" spans="1:16" hidden="1" x14ac:dyDescent="0.2">
      <c r="A43" s="292">
        <v>3</v>
      </c>
      <c r="B43" s="455" t="s">
        <v>63</v>
      </c>
      <c r="C43" s="455"/>
      <c r="D43" s="455"/>
      <c r="E43" s="455"/>
      <c r="F43" s="455"/>
      <c r="G43" s="455"/>
      <c r="H43" s="455"/>
      <c r="I43" s="307">
        <v>1536.73</v>
      </c>
      <c r="J43" s="292"/>
      <c r="K43" s="455"/>
      <c r="L43" s="455"/>
      <c r="M43" s="455"/>
      <c r="N43" s="455"/>
      <c r="O43" s="455"/>
      <c r="P43" s="455"/>
    </row>
    <row r="44" spans="1:16" hidden="1" x14ac:dyDescent="0.2">
      <c r="A44" s="304">
        <v>4</v>
      </c>
      <c r="B44" s="468" t="s">
        <v>64</v>
      </c>
      <c r="C44" s="468"/>
      <c r="D44" s="468"/>
      <c r="E44" s="468"/>
      <c r="F44" s="468"/>
      <c r="G44" s="468"/>
      <c r="H44" s="468"/>
      <c r="I44" s="308" t="s">
        <v>219</v>
      </c>
      <c r="J44" s="304"/>
      <c r="K44" s="468"/>
      <c r="L44" s="468"/>
      <c r="M44" s="468"/>
      <c r="N44" s="468"/>
      <c r="O44" s="468"/>
      <c r="P44" s="468"/>
    </row>
    <row r="45" spans="1:16" hidden="1" x14ac:dyDescent="0.2">
      <c r="A45" s="292">
        <v>5</v>
      </c>
      <c r="B45" s="454" t="s">
        <v>65</v>
      </c>
      <c r="C45" s="455"/>
      <c r="D45" s="455"/>
      <c r="E45" s="455"/>
      <c r="F45" s="455"/>
      <c r="G45" s="455"/>
      <c r="H45" s="455"/>
      <c r="I45" s="293">
        <v>45713</v>
      </c>
      <c r="J45" s="292"/>
      <c r="K45" s="454"/>
      <c r="L45" s="455"/>
      <c r="M45" s="455"/>
      <c r="N45" s="455"/>
      <c r="O45" s="455"/>
      <c r="P45" s="455"/>
    </row>
    <row r="46" spans="1:16" hidden="1" x14ac:dyDescent="0.2">
      <c r="A46" s="287"/>
      <c r="B46" s="234"/>
      <c r="C46" s="234"/>
      <c r="D46" s="234"/>
      <c r="E46" s="234"/>
      <c r="F46" s="234"/>
      <c r="G46" s="234"/>
      <c r="H46" s="234"/>
      <c r="I46" s="309"/>
      <c r="J46" s="287"/>
      <c r="K46" s="234"/>
      <c r="L46" s="234"/>
      <c r="M46" s="234"/>
      <c r="N46" s="234"/>
      <c r="O46" s="234"/>
      <c r="P46" s="234"/>
    </row>
    <row r="47" spans="1:16" hidden="1" x14ac:dyDescent="0.2">
      <c r="A47" s="300" t="s">
        <v>66</v>
      </c>
      <c r="B47" s="234"/>
      <c r="C47" s="234"/>
      <c r="D47" s="234"/>
      <c r="E47" s="234"/>
      <c r="F47" s="234"/>
      <c r="G47" s="234"/>
      <c r="H47" s="234"/>
      <c r="I47" s="309"/>
      <c r="J47" s="300"/>
      <c r="K47" s="234"/>
      <c r="L47" s="234"/>
      <c r="M47" s="234"/>
      <c r="N47" s="234"/>
      <c r="O47" s="234"/>
      <c r="P47" s="234"/>
    </row>
    <row r="48" spans="1:16" hidden="1" x14ac:dyDescent="0.2">
      <c r="A48" s="300" t="s">
        <v>67</v>
      </c>
      <c r="B48" s="234"/>
      <c r="C48" s="234"/>
      <c r="D48" s="234"/>
      <c r="E48" s="234"/>
      <c r="F48" s="234"/>
      <c r="G48" s="234"/>
      <c r="H48" s="234"/>
      <c r="I48" s="309"/>
      <c r="J48" s="300"/>
      <c r="K48" s="234"/>
      <c r="L48" s="234"/>
      <c r="M48" s="234"/>
      <c r="N48" s="234"/>
      <c r="O48" s="234"/>
      <c r="P48" s="234"/>
    </row>
    <row r="49" spans="1:17" hidden="1" x14ac:dyDescent="0.2">
      <c r="A49" s="57"/>
      <c r="I49" s="58"/>
      <c r="J49" s="57"/>
    </row>
    <row r="50" spans="1:17" hidden="1" x14ac:dyDescent="0.2">
      <c r="A50" s="469" t="s">
        <v>68</v>
      </c>
      <c r="B50" s="470"/>
      <c r="C50" s="470"/>
      <c r="D50" s="470"/>
      <c r="E50" s="470"/>
      <c r="F50" s="470"/>
      <c r="G50" s="470"/>
      <c r="H50" s="470"/>
      <c r="I50" s="471"/>
      <c r="J50" s="469"/>
      <c r="K50" s="470"/>
      <c r="L50" s="470"/>
      <c r="M50" s="470"/>
      <c r="N50" s="470"/>
      <c r="O50" s="470"/>
      <c r="P50" s="470"/>
    </row>
    <row r="51" spans="1:17" hidden="1" x14ac:dyDescent="0.2">
      <c r="A51" s="296">
        <v>1</v>
      </c>
      <c r="B51" s="465" t="s">
        <v>69</v>
      </c>
      <c r="C51" s="465"/>
      <c r="D51" s="465"/>
      <c r="E51" s="465"/>
      <c r="F51" s="465"/>
      <c r="G51" s="465"/>
      <c r="H51" s="8" t="s">
        <v>70</v>
      </c>
      <c r="I51" s="297" t="s">
        <v>71</v>
      </c>
      <c r="J51" s="296"/>
      <c r="K51" s="465"/>
      <c r="L51" s="465"/>
      <c r="M51" s="465"/>
      <c r="N51" s="465"/>
      <c r="O51" s="465"/>
      <c r="P51" s="465"/>
    </row>
    <row r="52" spans="1:17" hidden="1" x14ac:dyDescent="0.2">
      <c r="A52" s="296" t="s">
        <v>37</v>
      </c>
      <c r="B52" s="454" t="s">
        <v>72</v>
      </c>
      <c r="C52" s="454"/>
      <c r="D52" s="454"/>
      <c r="E52" s="454"/>
      <c r="F52" s="454"/>
      <c r="G52" s="454"/>
      <c r="H52" s="20"/>
      <c r="I52" s="310">
        <f>I43</f>
        <v>1536.73</v>
      </c>
      <c r="J52" s="296"/>
      <c r="K52" s="454"/>
      <c r="L52" s="454"/>
      <c r="M52" s="454"/>
      <c r="N52" s="454"/>
      <c r="O52" s="454"/>
      <c r="P52" s="454"/>
    </row>
    <row r="53" spans="1:17" hidden="1" x14ac:dyDescent="0.2">
      <c r="A53" s="296" t="s">
        <v>39</v>
      </c>
      <c r="B53" s="454" t="s">
        <v>73</v>
      </c>
      <c r="C53" s="454"/>
      <c r="D53" s="454"/>
      <c r="E53" s="454"/>
      <c r="F53" s="454"/>
      <c r="G53" s="454"/>
      <c r="H53" s="2"/>
      <c r="I53" s="310">
        <f>I52*H53</f>
        <v>0</v>
      </c>
      <c r="J53" s="296"/>
      <c r="K53" s="454"/>
      <c r="L53" s="454"/>
      <c r="M53" s="454"/>
      <c r="N53" s="454"/>
      <c r="O53" s="454"/>
      <c r="P53" s="454"/>
      <c r="Q53" s="25"/>
    </row>
    <row r="54" spans="1:17" hidden="1" x14ac:dyDescent="0.2">
      <c r="A54" s="296" t="s">
        <v>41</v>
      </c>
      <c r="B54" s="454" t="s">
        <v>74</v>
      </c>
      <c r="C54" s="454"/>
      <c r="D54" s="454"/>
      <c r="E54" s="454"/>
      <c r="F54" s="454"/>
      <c r="G54" s="454"/>
      <c r="H54" s="2"/>
      <c r="I54" s="310">
        <f>H54*I52</f>
        <v>0</v>
      </c>
      <c r="J54" s="296"/>
      <c r="K54" s="454"/>
      <c r="L54" s="454"/>
      <c r="M54" s="454"/>
      <c r="N54" s="454"/>
      <c r="O54" s="454"/>
      <c r="P54" s="454"/>
    </row>
    <row r="55" spans="1:17" hidden="1" x14ac:dyDescent="0.2">
      <c r="A55" s="296" t="s">
        <v>44</v>
      </c>
      <c r="B55" s="454" t="s">
        <v>75</v>
      </c>
      <c r="C55" s="454"/>
      <c r="D55" s="454"/>
      <c r="E55" s="454"/>
      <c r="F55" s="454"/>
      <c r="G55" s="454"/>
      <c r="H55" s="2"/>
      <c r="I55" s="310">
        <v>0</v>
      </c>
      <c r="J55" s="296"/>
      <c r="K55" s="454"/>
      <c r="L55" s="454"/>
      <c r="M55" s="454"/>
      <c r="N55" s="454"/>
      <c r="O55" s="454"/>
      <c r="P55" s="454"/>
      <c r="Q55" s="25"/>
    </row>
    <row r="56" spans="1:17" hidden="1" x14ac:dyDescent="0.2">
      <c r="A56" s="296" t="s">
        <v>76</v>
      </c>
      <c r="B56" s="454" t="s">
        <v>77</v>
      </c>
      <c r="C56" s="454"/>
      <c r="D56" s="454"/>
      <c r="E56" s="454"/>
      <c r="F56" s="454"/>
      <c r="G56" s="454"/>
      <c r="H56" s="5"/>
      <c r="I56" s="310">
        <v>0</v>
      </c>
      <c r="J56" s="296"/>
      <c r="K56" s="454"/>
      <c r="L56" s="454"/>
      <c r="M56" s="454"/>
      <c r="N56" s="454"/>
      <c r="O56" s="454"/>
      <c r="P56" s="454"/>
      <c r="Q56" s="25"/>
    </row>
    <row r="57" spans="1:17" hidden="1" x14ac:dyDescent="0.2">
      <c r="A57" s="296" t="s">
        <v>78</v>
      </c>
      <c r="B57" s="454" t="s">
        <v>79</v>
      </c>
      <c r="C57" s="454"/>
      <c r="D57" s="454"/>
      <c r="E57" s="454"/>
      <c r="F57" s="454"/>
      <c r="G57" s="454"/>
      <c r="H57" s="2"/>
      <c r="I57" s="310">
        <v>0</v>
      </c>
      <c r="J57" s="296"/>
      <c r="K57" s="454"/>
      <c r="L57" s="454"/>
      <c r="M57" s="454"/>
      <c r="N57" s="454"/>
      <c r="O57" s="454"/>
      <c r="P57" s="454"/>
    </row>
    <row r="58" spans="1:17" hidden="1" x14ac:dyDescent="0.2">
      <c r="A58" s="475" t="s">
        <v>80</v>
      </c>
      <c r="B58" s="457"/>
      <c r="C58" s="457"/>
      <c r="D58" s="457"/>
      <c r="E58" s="457"/>
      <c r="F58" s="457"/>
      <c r="G58" s="457"/>
      <c r="H58" s="457"/>
      <c r="I58" s="311">
        <f>SUM(I52:I57)</f>
        <v>1536.73</v>
      </c>
      <c r="J58" s="475"/>
      <c r="K58" s="457"/>
      <c r="L58" s="457"/>
      <c r="M58" s="457"/>
      <c r="N58" s="457"/>
      <c r="O58" s="457"/>
      <c r="P58" s="457"/>
    </row>
    <row r="59" spans="1:17" s="9" customFormat="1" hidden="1" x14ac:dyDescent="0.2">
      <c r="A59" s="59"/>
      <c r="I59" s="97"/>
      <c r="J59" s="59"/>
    </row>
    <row r="60" spans="1:17" s="9" customFormat="1" hidden="1" x14ac:dyDescent="0.2">
      <c r="A60" s="300" t="s">
        <v>81</v>
      </c>
      <c r="I60" s="97"/>
      <c r="J60" s="300"/>
    </row>
    <row r="61" spans="1:17" s="9" customFormat="1" hidden="1" x14ac:dyDescent="0.2">
      <c r="A61" s="300" t="s">
        <v>82</v>
      </c>
      <c r="I61" s="97"/>
      <c r="J61" s="300"/>
    </row>
    <row r="62" spans="1:17" hidden="1" x14ac:dyDescent="0.2">
      <c r="A62" s="312"/>
      <c r="B62" s="3"/>
      <c r="C62" s="3"/>
      <c r="D62" s="3"/>
      <c r="E62" s="3"/>
      <c r="F62" s="3"/>
      <c r="G62" s="3"/>
      <c r="H62" s="3"/>
      <c r="I62" s="61"/>
      <c r="J62" s="312"/>
      <c r="K62" s="3"/>
      <c r="L62" s="3"/>
      <c r="M62" s="3"/>
      <c r="N62" s="3"/>
      <c r="O62" s="3"/>
      <c r="P62" s="3"/>
    </row>
    <row r="63" spans="1:17" hidden="1" x14ac:dyDescent="0.2">
      <c r="A63" s="469" t="s">
        <v>83</v>
      </c>
      <c r="B63" s="470"/>
      <c r="C63" s="470"/>
      <c r="D63" s="470"/>
      <c r="E63" s="470"/>
      <c r="F63" s="470"/>
      <c r="G63" s="470"/>
      <c r="H63" s="470"/>
      <c r="I63" s="471"/>
      <c r="J63" s="469"/>
      <c r="K63" s="470"/>
      <c r="L63" s="470"/>
      <c r="M63" s="470"/>
      <c r="N63" s="470"/>
      <c r="O63" s="470"/>
      <c r="P63" s="470"/>
    </row>
    <row r="64" spans="1:17" hidden="1" x14ac:dyDescent="0.2">
      <c r="A64" s="313" t="s">
        <v>84</v>
      </c>
      <c r="B64" s="472" t="s">
        <v>85</v>
      </c>
      <c r="C64" s="473"/>
      <c r="D64" s="473"/>
      <c r="E64" s="473"/>
      <c r="F64" s="473"/>
      <c r="G64" s="474"/>
      <c r="H64" s="8" t="s">
        <v>70</v>
      </c>
      <c r="I64" s="297" t="s">
        <v>71</v>
      </c>
      <c r="J64" s="313"/>
      <c r="K64" s="472"/>
      <c r="L64" s="473"/>
      <c r="M64" s="473"/>
      <c r="N64" s="473"/>
      <c r="O64" s="473"/>
      <c r="P64" s="474"/>
    </row>
    <row r="65" spans="1:16" ht="13.5" hidden="1" customHeight="1" x14ac:dyDescent="0.2">
      <c r="A65" s="296" t="s">
        <v>37</v>
      </c>
      <c r="B65" s="454" t="s">
        <v>86</v>
      </c>
      <c r="C65" s="454"/>
      <c r="D65" s="454"/>
      <c r="E65" s="454"/>
      <c r="F65" s="454"/>
      <c r="G65" s="454"/>
      <c r="H65" s="1">
        <f>1/12</f>
        <v>8.3333333333333329E-2</v>
      </c>
      <c r="I65" s="82">
        <f>$I$58*H65</f>
        <v>128.06083333333333</v>
      </c>
      <c r="J65" s="296"/>
      <c r="K65" s="454"/>
      <c r="L65" s="454"/>
      <c r="M65" s="454"/>
      <c r="N65" s="454"/>
      <c r="O65" s="454"/>
      <c r="P65" s="454"/>
    </row>
    <row r="66" spans="1:16" hidden="1" x14ac:dyDescent="0.2">
      <c r="A66" s="296" t="s">
        <v>39</v>
      </c>
      <c r="B66" s="454" t="s">
        <v>87</v>
      </c>
      <c r="C66" s="454"/>
      <c r="D66" s="454"/>
      <c r="E66" s="454"/>
      <c r="F66" s="454"/>
      <c r="G66" s="454"/>
      <c r="H66" s="22">
        <v>0.121</v>
      </c>
      <c r="I66" s="82">
        <f>$I$58*H66</f>
        <v>185.94433000000001</v>
      </c>
      <c r="J66" s="296"/>
      <c r="K66" s="454"/>
      <c r="L66" s="454"/>
      <c r="M66" s="454"/>
      <c r="N66" s="454"/>
      <c r="O66" s="454"/>
      <c r="P66" s="454"/>
    </row>
    <row r="67" spans="1:16" hidden="1" x14ac:dyDescent="0.2">
      <c r="A67" s="456" t="s">
        <v>88</v>
      </c>
      <c r="B67" s="457"/>
      <c r="C67" s="457"/>
      <c r="D67" s="457"/>
      <c r="E67" s="457"/>
      <c r="F67" s="457"/>
      <c r="G67" s="457"/>
      <c r="H67" s="33">
        <f>TRUNC(SUM(H65:H66),4)</f>
        <v>0.20430000000000001</v>
      </c>
      <c r="I67" s="314">
        <f>SUM(I65:I66)</f>
        <v>314.00516333333337</v>
      </c>
      <c r="J67" s="456"/>
      <c r="K67" s="457"/>
      <c r="L67" s="457"/>
      <c r="M67" s="457"/>
      <c r="N67" s="457"/>
      <c r="O67" s="457"/>
      <c r="P67" s="457"/>
    </row>
    <row r="68" spans="1:16" ht="21.95" hidden="1" customHeight="1" x14ac:dyDescent="0.2">
      <c r="A68" s="313" t="s">
        <v>41</v>
      </c>
      <c r="B68" s="479" t="s">
        <v>89</v>
      </c>
      <c r="C68" s="479"/>
      <c r="D68" s="479"/>
      <c r="E68" s="479"/>
      <c r="F68" s="479"/>
      <c r="G68" s="479"/>
      <c r="H68" s="149">
        <f>H67*H88</f>
        <v>7.518240000000001E-2</v>
      </c>
      <c r="I68" s="83">
        <f>$I$58*H68</f>
        <v>115.53504955200002</v>
      </c>
      <c r="J68" s="313"/>
      <c r="K68" s="479"/>
      <c r="L68" s="479"/>
      <c r="M68" s="479"/>
      <c r="N68" s="479"/>
      <c r="O68" s="479"/>
      <c r="P68" s="479"/>
    </row>
    <row r="69" spans="1:16" hidden="1" x14ac:dyDescent="0.2">
      <c r="A69" s="456" t="s">
        <v>90</v>
      </c>
      <c r="B69" s="457"/>
      <c r="C69" s="457"/>
      <c r="D69" s="457"/>
      <c r="E69" s="457"/>
      <c r="F69" s="457"/>
      <c r="G69" s="457"/>
      <c r="H69" s="33">
        <f>TRUNC(SUM(H67:H68),4)</f>
        <v>0.27939999999999998</v>
      </c>
      <c r="I69" s="314">
        <f>SUM(I67:I68)</f>
        <v>429.5402128853334</v>
      </c>
      <c r="J69" s="456"/>
      <c r="K69" s="457"/>
      <c r="L69" s="457"/>
      <c r="M69" s="457"/>
      <c r="N69" s="457"/>
      <c r="O69" s="457"/>
      <c r="P69" s="457"/>
    </row>
    <row r="70" spans="1:16" hidden="1" x14ac:dyDescent="0.2">
      <c r="A70" s="312"/>
      <c r="B70" s="3"/>
      <c r="C70" s="3"/>
      <c r="D70" s="3"/>
      <c r="E70" s="3"/>
      <c r="F70" s="3"/>
      <c r="G70" s="3"/>
      <c r="H70" s="35"/>
      <c r="I70" s="61"/>
      <c r="J70" s="312"/>
      <c r="K70" s="3"/>
      <c r="L70" s="3"/>
      <c r="M70" s="3"/>
      <c r="N70" s="3"/>
      <c r="O70" s="3"/>
      <c r="P70" s="3"/>
    </row>
    <row r="71" spans="1:16" hidden="1" x14ac:dyDescent="0.2">
      <c r="A71" s="300" t="s">
        <v>91</v>
      </c>
      <c r="B71" s="3"/>
      <c r="C71" s="3"/>
      <c r="D71" s="3"/>
      <c r="E71" s="3"/>
      <c r="F71" s="3"/>
      <c r="G71" s="3"/>
      <c r="H71" s="35"/>
      <c r="I71" s="61"/>
      <c r="J71" s="300"/>
      <c r="K71" s="3"/>
      <c r="L71" s="3"/>
      <c r="M71" s="3"/>
      <c r="N71" s="3"/>
      <c r="O71" s="3"/>
      <c r="P71" s="3"/>
    </row>
    <row r="72" spans="1:16" hidden="1" x14ac:dyDescent="0.2">
      <c r="A72" s="300" t="s">
        <v>92</v>
      </c>
      <c r="B72" s="3"/>
      <c r="C72" s="3"/>
      <c r="D72" s="3"/>
      <c r="E72" s="3"/>
      <c r="F72" s="3"/>
      <c r="G72" s="3"/>
      <c r="H72" s="35"/>
      <c r="I72" s="61"/>
      <c r="J72" s="300"/>
      <c r="K72" s="3"/>
      <c r="L72" s="3"/>
      <c r="M72" s="3"/>
      <c r="N72" s="3"/>
      <c r="O72" s="3"/>
      <c r="P72" s="3"/>
    </row>
    <row r="73" spans="1:16" hidden="1" x14ac:dyDescent="0.2">
      <c r="A73" s="300" t="s">
        <v>93</v>
      </c>
      <c r="B73" s="3"/>
      <c r="C73" s="3"/>
      <c r="D73" s="3"/>
      <c r="E73" s="3"/>
      <c r="F73" s="3"/>
      <c r="G73" s="3"/>
      <c r="H73" s="35"/>
      <c r="I73" s="61"/>
      <c r="J73" s="300"/>
      <c r="K73" s="3"/>
      <c r="L73" s="3"/>
      <c r="M73" s="3"/>
      <c r="N73" s="3"/>
      <c r="O73" s="3"/>
      <c r="P73" s="3"/>
    </row>
    <row r="74" spans="1:16" hidden="1" x14ac:dyDescent="0.2">
      <c r="A74" s="300" t="s">
        <v>94</v>
      </c>
      <c r="B74" s="9"/>
      <c r="C74" s="9"/>
      <c r="D74" s="9"/>
      <c r="E74" s="9"/>
      <c r="F74" s="9"/>
      <c r="G74" s="9"/>
      <c r="H74" s="9"/>
      <c r="I74" s="97"/>
      <c r="J74" s="300"/>
      <c r="K74" s="9"/>
      <c r="L74" s="9"/>
      <c r="M74" s="9"/>
      <c r="N74" s="9"/>
      <c r="O74" s="9"/>
      <c r="P74" s="9"/>
    </row>
    <row r="75" spans="1:16" hidden="1" x14ac:dyDescent="0.2">
      <c r="A75" s="300" t="s">
        <v>95</v>
      </c>
      <c r="B75" s="9"/>
      <c r="C75" s="9"/>
      <c r="D75" s="9"/>
      <c r="E75" s="9"/>
      <c r="F75" s="9"/>
      <c r="G75" s="9"/>
      <c r="H75" s="9"/>
      <c r="I75" s="97"/>
      <c r="J75" s="300"/>
      <c r="K75" s="9"/>
      <c r="L75" s="9"/>
      <c r="M75" s="9"/>
      <c r="N75" s="9"/>
      <c r="O75" s="9"/>
      <c r="P75" s="9"/>
    </row>
    <row r="76" spans="1:16" hidden="1" x14ac:dyDescent="0.2">
      <c r="A76" s="300"/>
      <c r="B76" s="9"/>
      <c r="C76" s="9"/>
      <c r="D76" s="9"/>
      <c r="E76" s="9"/>
      <c r="F76" s="9"/>
      <c r="G76" s="9"/>
      <c r="H76" s="9"/>
      <c r="I76" s="97"/>
      <c r="J76" s="300"/>
      <c r="K76" s="9"/>
      <c r="L76" s="9"/>
      <c r="M76" s="9"/>
      <c r="N76" s="9"/>
      <c r="O76" s="9"/>
      <c r="P76" s="9"/>
    </row>
    <row r="77" spans="1:16" hidden="1" x14ac:dyDescent="0.2">
      <c r="A77" s="300"/>
      <c r="B77" s="9"/>
      <c r="C77" s="9"/>
      <c r="D77" s="9"/>
      <c r="E77" s="9"/>
      <c r="F77" s="9"/>
      <c r="G77" s="9"/>
      <c r="H77" s="9"/>
      <c r="I77" s="97"/>
      <c r="J77" s="300"/>
      <c r="K77" s="9"/>
      <c r="L77" s="9"/>
      <c r="M77" s="9"/>
      <c r="N77" s="9"/>
      <c r="O77" s="9"/>
      <c r="P77" s="9"/>
    </row>
    <row r="78" spans="1:16" hidden="1" x14ac:dyDescent="0.2">
      <c r="A78" s="42"/>
      <c r="B78" s="36"/>
      <c r="C78" s="36"/>
      <c r="D78" s="36"/>
      <c r="E78" s="36"/>
      <c r="F78" s="36"/>
      <c r="G78" s="36"/>
      <c r="H78" s="36"/>
      <c r="I78" s="315"/>
      <c r="J78" s="42"/>
      <c r="K78" s="36"/>
      <c r="L78" s="36"/>
      <c r="M78" s="36"/>
      <c r="N78" s="36"/>
      <c r="O78" s="36"/>
      <c r="P78" s="36"/>
    </row>
    <row r="79" spans="1:16" hidden="1" x14ac:dyDescent="0.2">
      <c r="A79" s="316" t="s">
        <v>96</v>
      </c>
      <c r="B79" s="476" t="s">
        <v>97</v>
      </c>
      <c r="C79" s="477"/>
      <c r="D79" s="477"/>
      <c r="E79" s="477"/>
      <c r="F79" s="477"/>
      <c r="G79" s="478"/>
      <c r="H79" s="26" t="s">
        <v>70</v>
      </c>
      <c r="I79" s="291" t="s">
        <v>71</v>
      </c>
      <c r="J79" s="316"/>
      <c r="K79" s="476"/>
      <c r="L79" s="477"/>
      <c r="M79" s="477"/>
      <c r="N79" s="477"/>
      <c r="O79" s="477"/>
      <c r="P79" s="478"/>
    </row>
    <row r="80" spans="1:16" hidden="1" x14ac:dyDescent="0.2">
      <c r="A80" s="296" t="s">
        <v>37</v>
      </c>
      <c r="B80" s="454" t="s">
        <v>98</v>
      </c>
      <c r="C80" s="454"/>
      <c r="D80" s="454"/>
      <c r="E80" s="454"/>
      <c r="F80" s="454"/>
      <c r="G80" s="454"/>
      <c r="H80" s="1">
        <v>0.2</v>
      </c>
      <c r="I80" s="82">
        <f t="shared" ref="I80:I87" si="1">H80*($I$58)</f>
        <v>307.346</v>
      </c>
      <c r="J80" s="296"/>
      <c r="K80" s="454"/>
      <c r="L80" s="454"/>
      <c r="M80" s="454"/>
      <c r="N80" s="454"/>
      <c r="O80" s="454"/>
      <c r="P80" s="454"/>
    </row>
    <row r="81" spans="1:17" hidden="1" x14ac:dyDescent="0.2">
      <c r="A81" s="296" t="s">
        <v>39</v>
      </c>
      <c r="B81" s="454" t="s">
        <v>99</v>
      </c>
      <c r="C81" s="454"/>
      <c r="D81" s="454"/>
      <c r="E81" s="454"/>
      <c r="F81" s="454"/>
      <c r="G81" s="454"/>
      <c r="H81" s="1">
        <v>2.5000000000000001E-2</v>
      </c>
      <c r="I81" s="82">
        <f t="shared" si="1"/>
        <v>38.41825</v>
      </c>
      <c r="J81" s="296"/>
      <c r="K81" s="454"/>
      <c r="L81" s="454"/>
      <c r="M81" s="454"/>
      <c r="N81" s="454"/>
      <c r="O81" s="454"/>
      <c r="P81" s="454"/>
    </row>
    <row r="82" spans="1:17" hidden="1" x14ac:dyDescent="0.2">
      <c r="A82" s="296" t="s">
        <v>41</v>
      </c>
      <c r="B82" s="454" t="s">
        <v>100</v>
      </c>
      <c r="C82" s="454"/>
      <c r="D82" s="454"/>
      <c r="E82" s="454"/>
      <c r="F82" s="454"/>
      <c r="G82" s="454"/>
      <c r="H82" s="1">
        <v>0.03</v>
      </c>
      <c r="I82" s="82">
        <f t="shared" si="1"/>
        <v>46.101900000000001</v>
      </c>
      <c r="J82" s="296"/>
      <c r="K82" s="454"/>
      <c r="L82" s="454"/>
      <c r="M82" s="454"/>
      <c r="N82" s="454"/>
      <c r="O82" s="454"/>
      <c r="P82" s="454"/>
      <c r="Q82" s="25"/>
    </row>
    <row r="83" spans="1:17" hidden="1" x14ac:dyDescent="0.2">
      <c r="A83" s="296" t="s">
        <v>44</v>
      </c>
      <c r="B83" s="454" t="s">
        <v>101</v>
      </c>
      <c r="C83" s="454"/>
      <c r="D83" s="454"/>
      <c r="E83" s="454"/>
      <c r="F83" s="454"/>
      <c r="G83" s="454"/>
      <c r="H83" s="1">
        <v>1.4999999999999999E-2</v>
      </c>
      <c r="I83" s="82">
        <f t="shared" si="1"/>
        <v>23.05095</v>
      </c>
      <c r="J83" s="296"/>
      <c r="K83" s="454"/>
      <c r="L83" s="454"/>
      <c r="M83" s="454"/>
      <c r="N83" s="454"/>
      <c r="O83" s="454"/>
      <c r="P83" s="454"/>
    </row>
    <row r="84" spans="1:17" hidden="1" x14ac:dyDescent="0.2">
      <c r="A84" s="296" t="s">
        <v>76</v>
      </c>
      <c r="B84" s="454" t="s">
        <v>102</v>
      </c>
      <c r="C84" s="454"/>
      <c r="D84" s="454"/>
      <c r="E84" s="454"/>
      <c r="F84" s="454"/>
      <c r="G84" s="454"/>
      <c r="H84" s="1">
        <v>0.01</v>
      </c>
      <c r="I84" s="82">
        <f t="shared" si="1"/>
        <v>15.3673</v>
      </c>
      <c r="J84" s="296"/>
      <c r="K84" s="454"/>
      <c r="L84" s="454"/>
      <c r="M84" s="454"/>
      <c r="N84" s="454"/>
      <c r="O84" s="454"/>
      <c r="P84" s="454"/>
    </row>
    <row r="85" spans="1:17" hidden="1" x14ac:dyDescent="0.2">
      <c r="A85" s="296" t="s">
        <v>78</v>
      </c>
      <c r="B85" s="454" t="s">
        <v>103</v>
      </c>
      <c r="C85" s="454"/>
      <c r="D85" s="454"/>
      <c r="E85" s="454"/>
      <c r="F85" s="454"/>
      <c r="G85" s="454"/>
      <c r="H85" s="1">
        <v>6.0000000000000001E-3</v>
      </c>
      <c r="I85" s="82">
        <f t="shared" si="1"/>
        <v>9.2203800000000005</v>
      </c>
      <c r="J85" s="296"/>
      <c r="K85" s="454"/>
      <c r="L85" s="454"/>
      <c r="M85" s="454"/>
      <c r="N85" s="454"/>
      <c r="O85" s="454"/>
      <c r="P85" s="454"/>
    </row>
    <row r="86" spans="1:17" hidden="1" x14ac:dyDescent="0.2">
      <c r="A86" s="296" t="s">
        <v>104</v>
      </c>
      <c r="B86" s="454" t="s">
        <v>105</v>
      </c>
      <c r="C86" s="454"/>
      <c r="D86" s="454"/>
      <c r="E86" s="454"/>
      <c r="F86" s="454"/>
      <c r="G86" s="454"/>
      <c r="H86" s="1">
        <v>2E-3</v>
      </c>
      <c r="I86" s="82">
        <f t="shared" si="1"/>
        <v>3.0734600000000003</v>
      </c>
      <c r="J86" s="296"/>
      <c r="K86" s="454"/>
      <c r="L86" s="454"/>
      <c r="M86" s="454"/>
      <c r="N86" s="454"/>
      <c r="O86" s="454"/>
      <c r="P86" s="454"/>
    </row>
    <row r="87" spans="1:17" hidden="1" x14ac:dyDescent="0.2">
      <c r="A87" s="296" t="s">
        <v>106</v>
      </c>
      <c r="B87" s="454" t="s">
        <v>107</v>
      </c>
      <c r="C87" s="454"/>
      <c r="D87" s="454"/>
      <c r="E87" s="454"/>
      <c r="F87" s="454"/>
      <c r="G87" s="454"/>
      <c r="H87" s="1">
        <v>0.08</v>
      </c>
      <c r="I87" s="82">
        <f t="shared" si="1"/>
        <v>122.9384</v>
      </c>
      <c r="J87" s="296"/>
      <c r="K87" s="454"/>
      <c r="L87" s="454"/>
      <c r="M87" s="454"/>
      <c r="N87" s="454"/>
      <c r="O87" s="454"/>
      <c r="P87" s="454"/>
    </row>
    <row r="88" spans="1:17" hidden="1" x14ac:dyDescent="0.2">
      <c r="A88" s="456" t="s">
        <v>11</v>
      </c>
      <c r="B88" s="457"/>
      <c r="C88" s="457"/>
      <c r="D88" s="457"/>
      <c r="E88" s="457"/>
      <c r="F88" s="457"/>
      <c r="G88" s="457"/>
      <c r="H88" s="33">
        <f>SUM(H80:H87)</f>
        <v>0.36800000000000005</v>
      </c>
      <c r="I88" s="314">
        <f>SUM(I80:I87)</f>
        <v>565.51664000000005</v>
      </c>
      <c r="J88" s="456"/>
      <c r="K88" s="457"/>
      <c r="L88" s="457"/>
      <c r="M88" s="457"/>
      <c r="N88" s="457"/>
      <c r="O88" s="457"/>
      <c r="P88" s="457"/>
    </row>
    <row r="89" spans="1:17" hidden="1" x14ac:dyDescent="0.2">
      <c r="A89" s="312"/>
      <c r="B89" s="3"/>
      <c r="C89" s="3"/>
      <c r="D89" s="3"/>
      <c r="E89" s="3"/>
      <c r="F89" s="3"/>
      <c r="G89" s="3"/>
      <c r="H89" s="35"/>
      <c r="I89" s="61"/>
      <c r="J89" s="312"/>
      <c r="K89" s="3"/>
      <c r="L89" s="3"/>
      <c r="M89" s="3"/>
      <c r="N89" s="3"/>
      <c r="O89" s="3"/>
      <c r="P89" s="3"/>
    </row>
    <row r="90" spans="1:17" hidden="1" x14ac:dyDescent="0.2">
      <c r="A90" s="300" t="s">
        <v>108</v>
      </c>
      <c r="B90" s="3"/>
      <c r="C90" s="3"/>
      <c r="D90" s="3"/>
      <c r="E90" s="3"/>
      <c r="F90" s="3"/>
      <c r="G90" s="3"/>
      <c r="H90" s="35"/>
      <c r="I90" s="61"/>
      <c r="J90" s="300"/>
      <c r="K90" s="3"/>
      <c r="L90" s="3"/>
      <c r="M90" s="3"/>
      <c r="N90" s="3"/>
      <c r="O90" s="3"/>
      <c r="P90" s="3"/>
    </row>
    <row r="91" spans="1:17" hidden="1" x14ac:dyDescent="0.2">
      <c r="A91" s="300" t="s">
        <v>109</v>
      </c>
      <c r="B91" s="3"/>
      <c r="C91" s="3"/>
      <c r="D91" s="3"/>
      <c r="E91" s="3"/>
      <c r="F91" s="3"/>
      <c r="G91" s="3"/>
      <c r="H91" s="35"/>
      <c r="I91" s="61"/>
      <c r="J91" s="300"/>
      <c r="K91" s="3"/>
      <c r="L91" s="3"/>
      <c r="M91" s="3"/>
      <c r="N91" s="3"/>
      <c r="O91" s="3"/>
      <c r="P91" s="3"/>
    </row>
    <row r="92" spans="1:17" hidden="1" x14ac:dyDescent="0.2">
      <c r="A92" s="300" t="s">
        <v>110</v>
      </c>
      <c r="B92" s="3"/>
      <c r="C92" s="3"/>
      <c r="D92" s="3"/>
      <c r="E92" s="3"/>
      <c r="F92" s="3"/>
      <c r="G92" s="3"/>
      <c r="H92" s="35"/>
      <c r="I92" s="61"/>
      <c r="J92" s="300"/>
      <c r="K92" s="3"/>
      <c r="L92" s="3"/>
      <c r="M92" s="3"/>
      <c r="N92" s="3"/>
      <c r="O92" s="3"/>
      <c r="P92" s="3"/>
    </row>
    <row r="93" spans="1:17" hidden="1" x14ac:dyDescent="0.2">
      <c r="A93" s="300" t="s">
        <v>111</v>
      </c>
      <c r="B93" s="3"/>
      <c r="C93" s="3"/>
      <c r="D93" s="3"/>
      <c r="E93" s="3"/>
      <c r="F93" s="3"/>
      <c r="G93" s="3"/>
      <c r="H93" s="35"/>
      <c r="I93" s="61"/>
      <c r="J93" s="300"/>
      <c r="K93" s="3"/>
      <c r="L93" s="3"/>
      <c r="M93" s="3"/>
      <c r="N93" s="3"/>
      <c r="O93" s="3"/>
      <c r="P93" s="3"/>
    </row>
    <row r="94" spans="1:17" hidden="1" x14ac:dyDescent="0.2">
      <c r="A94" s="300" t="s">
        <v>112</v>
      </c>
      <c r="B94" s="3"/>
      <c r="C94" s="3"/>
      <c r="D94" s="3"/>
      <c r="E94" s="3"/>
      <c r="F94" s="3"/>
      <c r="G94" s="3"/>
      <c r="H94" s="35"/>
      <c r="I94" s="61"/>
      <c r="J94" s="300"/>
      <c r="K94" s="3"/>
      <c r="L94" s="3"/>
      <c r="M94" s="3"/>
      <c r="N94" s="3"/>
      <c r="O94" s="3"/>
      <c r="P94" s="3"/>
    </row>
    <row r="95" spans="1:17" hidden="1" x14ac:dyDescent="0.2">
      <c r="A95" s="59"/>
      <c r="B95" s="9"/>
      <c r="C95" s="9"/>
      <c r="D95" s="9"/>
      <c r="E95" s="9"/>
      <c r="F95" s="9"/>
      <c r="G95" s="9"/>
      <c r="H95" s="9"/>
      <c r="I95" s="97"/>
      <c r="J95" s="59"/>
      <c r="K95" s="9"/>
      <c r="L95" s="9"/>
      <c r="M95" s="9"/>
      <c r="N95" s="9"/>
      <c r="O95" s="9"/>
      <c r="P95" s="9"/>
    </row>
    <row r="96" spans="1:17" hidden="1" x14ac:dyDescent="0.2">
      <c r="A96" s="316" t="s">
        <v>113</v>
      </c>
      <c r="B96" s="483" t="s">
        <v>114</v>
      </c>
      <c r="C96" s="484"/>
      <c r="D96" s="484"/>
      <c r="E96" s="484"/>
      <c r="F96" s="484"/>
      <c r="G96" s="485"/>
      <c r="H96" s="33"/>
      <c r="I96" s="291" t="s">
        <v>71</v>
      </c>
      <c r="J96" s="316"/>
      <c r="K96" s="483"/>
      <c r="L96" s="484"/>
      <c r="M96" s="484"/>
      <c r="N96" s="484"/>
      <c r="O96" s="484"/>
      <c r="P96" s="485"/>
    </row>
    <row r="97" spans="1:16" ht="14.1" hidden="1" customHeight="1" x14ac:dyDescent="0.2">
      <c r="A97" s="296" t="s">
        <v>37</v>
      </c>
      <c r="B97" s="480" t="s">
        <v>115</v>
      </c>
      <c r="C97" s="480"/>
      <c r="D97" s="480"/>
      <c r="E97" s="480"/>
      <c r="F97" s="480"/>
      <c r="G97" s="480"/>
      <c r="H97" s="21" t="s">
        <v>116</v>
      </c>
      <c r="I97" s="317">
        <f>'Mód2.3 '!J12</f>
        <v>123.39620000000002</v>
      </c>
      <c r="J97" s="296"/>
      <c r="K97" s="480"/>
      <c r="L97" s="480"/>
      <c r="M97" s="480"/>
      <c r="N97" s="480"/>
      <c r="O97" s="480"/>
      <c r="P97" s="480"/>
    </row>
    <row r="98" spans="1:16" hidden="1" x14ac:dyDescent="0.2">
      <c r="A98" s="296" t="s">
        <v>39</v>
      </c>
      <c r="B98" s="480" t="s">
        <v>117</v>
      </c>
      <c r="C98" s="480"/>
      <c r="D98" s="480"/>
      <c r="E98" s="480"/>
      <c r="F98" s="480"/>
      <c r="G98" s="480"/>
      <c r="H98" s="21" t="s">
        <v>116</v>
      </c>
      <c r="I98" s="317">
        <f>'Mód2.3 '!E25</f>
        <v>540</v>
      </c>
      <c r="J98" s="296"/>
      <c r="K98" s="480"/>
      <c r="L98" s="480"/>
      <c r="M98" s="480"/>
      <c r="N98" s="480"/>
      <c r="O98" s="480"/>
      <c r="P98" s="480"/>
    </row>
    <row r="99" spans="1:16" hidden="1" x14ac:dyDescent="0.2">
      <c r="A99" s="296" t="s">
        <v>41</v>
      </c>
      <c r="B99" s="480" t="s">
        <v>118</v>
      </c>
      <c r="C99" s="480"/>
      <c r="D99" s="480"/>
      <c r="E99" s="480"/>
      <c r="F99" s="480"/>
      <c r="G99" s="480"/>
      <c r="H99" s="21" t="s">
        <v>116</v>
      </c>
      <c r="I99" s="317">
        <f>'Mód2.3 '!E33</f>
        <v>0</v>
      </c>
      <c r="J99" s="296"/>
      <c r="K99" s="480"/>
      <c r="L99" s="480"/>
      <c r="M99" s="480"/>
      <c r="N99" s="480"/>
      <c r="O99" s="480"/>
      <c r="P99" s="480"/>
    </row>
    <row r="100" spans="1:16" ht="15" hidden="1" customHeight="1" x14ac:dyDescent="0.2">
      <c r="A100" s="313" t="s">
        <v>44</v>
      </c>
      <c r="B100" s="481" t="s">
        <v>119</v>
      </c>
      <c r="C100" s="480"/>
      <c r="D100" s="480"/>
      <c r="E100" s="480"/>
      <c r="F100" s="480"/>
      <c r="G100" s="480"/>
      <c r="H100" s="28" t="s">
        <v>116</v>
      </c>
      <c r="I100" s="318">
        <f>'Mód2.3 '!E42</f>
        <v>22</v>
      </c>
      <c r="J100" s="313"/>
      <c r="K100" s="482"/>
      <c r="L100" s="482"/>
      <c r="M100" s="482"/>
      <c r="N100" s="482"/>
      <c r="O100" s="482"/>
      <c r="P100" s="482"/>
    </row>
    <row r="101" spans="1:16" hidden="1" x14ac:dyDescent="0.2">
      <c r="A101" s="296" t="s">
        <v>76</v>
      </c>
      <c r="B101" s="480" t="s">
        <v>220</v>
      </c>
      <c r="C101" s="480"/>
      <c r="D101" s="480"/>
      <c r="E101" s="480"/>
      <c r="F101" s="480"/>
      <c r="G101" s="480"/>
      <c r="H101" s="21" t="s">
        <v>116</v>
      </c>
      <c r="I101" s="317">
        <f>'Mód2.3 '!E52</f>
        <v>0</v>
      </c>
      <c r="J101" s="296"/>
      <c r="K101" s="480"/>
      <c r="L101" s="480"/>
      <c r="M101" s="480"/>
      <c r="N101" s="480"/>
      <c r="O101" s="480"/>
      <c r="P101" s="480"/>
    </row>
    <row r="102" spans="1:16" hidden="1" x14ac:dyDescent="0.2">
      <c r="A102" s="296"/>
      <c r="B102" s="481"/>
      <c r="C102" s="480"/>
      <c r="D102" s="480"/>
      <c r="E102" s="480"/>
      <c r="F102" s="480"/>
      <c r="G102" s="480"/>
      <c r="H102" s="21"/>
      <c r="I102" s="317"/>
      <c r="J102" s="296"/>
      <c r="K102" s="480"/>
      <c r="L102" s="480"/>
      <c r="M102" s="480"/>
      <c r="N102" s="480"/>
      <c r="O102" s="480"/>
      <c r="P102" s="480"/>
    </row>
    <row r="103" spans="1:16" hidden="1" x14ac:dyDescent="0.2">
      <c r="A103" s="456" t="s">
        <v>122</v>
      </c>
      <c r="B103" s="457"/>
      <c r="C103" s="457"/>
      <c r="D103" s="457"/>
      <c r="E103" s="457"/>
      <c r="F103" s="457"/>
      <c r="G103" s="457"/>
      <c r="H103" s="457"/>
      <c r="I103" s="314">
        <f>SUM(I97:I102)</f>
        <v>685.39620000000002</v>
      </c>
      <c r="J103" s="456"/>
      <c r="K103" s="457"/>
      <c r="L103" s="457"/>
      <c r="M103" s="457"/>
      <c r="N103" s="457"/>
      <c r="O103" s="457"/>
      <c r="P103" s="457"/>
    </row>
    <row r="104" spans="1:16" hidden="1" x14ac:dyDescent="0.2">
      <c r="A104" s="312"/>
      <c r="B104" s="3"/>
      <c r="C104" s="3"/>
      <c r="D104" s="3"/>
      <c r="E104" s="3"/>
      <c r="F104" s="3"/>
      <c r="G104" s="3"/>
      <c r="H104" s="3"/>
      <c r="I104" s="61"/>
      <c r="J104" s="312"/>
      <c r="K104" s="3"/>
      <c r="L104" s="3"/>
      <c r="M104" s="3"/>
      <c r="N104" s="3"/>
      <c r="O104" s="3"/>
      <c r="P104" s="3"/>
    </row>
    <row r="105" spans="1:16" hidden="1" x14ac:dyDescent="0.2">
      <c r="A105" s="300" t="s">
        <v>123</v>
      </c>
      <c r="B105" s="3"/>
      <c r="C105" s="3"/>
      <c r="D105" s="3"/>
      <c r="E105" s="3"/>
      <c r="F105" s="3"/>
      <c r="G105" s="3"/>
      <c r="H105" s="3"/>
      <c r="I105" s="61"/>
      <c r="J105" s="300"/>
      <c r="K105" s="3"/>
      <c r="L105" s="3"/>
      <c r="M105" s="3"/>
      <c r="N105" s="3"/>
      <c r="O105" s="3"/>
      <c r="P105" s="3"/>
    </row>
    <row r="106" spans="1:16" hidden="1" x14ac:dyDescent="0.2">
      <c r="A106" s="300" t="s">
        <v>124</v>
      </c>
      <c r="B106" s="3"/>
      <c r="C106" s="3"/>
      <c r="D106" s="3"/>
      <c r="E106" s="3"/>
      <c r="F106" s="3"/>
      <c r="G106" s="3"/>
      <c r="H106" s="3"/>
      <c r="I106" s="61"/>
      <c r="J106" s="300"/>
      <c r="K106" s="3"/>
      <c r="L106" s="3"/>
      <c r="M106" s="3"/>
      <c r="N106" s="3"/>
      <c r="O106" s="3"/>
      <c r="P106" s="3"/>
    </row>
    <row r="107" spans="1:16" hidden="1" x14ac:dyDescent="0.2">
      <c r="A107" s="300" t="s">
        <v>125</v>
      </c>
      <c r="B107" s="3"/>
      <c r="C107" s="3"/>
      <c r="D107" s="3"/>
      <c r="E107" s="3"/>
      <c r="F107" s="3"/>
      <c r="G107" s="3"/>
      <c r="H107" s="3"/>
      <c r="I107" s="61"/>
      <c r="J107" s="300"/>
      <c r="K107" s="3"/>
      <c r="L107" s="3"/>
      <c r="M107" s="3"/>
      <c r="N107" s="3"/>
      <c r="O107" s="3"/>
      <c r="P107" s="3"/>
    </row>
    <row r="108" spans="1:16" hidden="1" x14ac:dyDescent="0.2">
      <c r="A108" s="300" t="s">
        <v>126</v>
      </c>
      <c r="B108" s="3"/>
      <c r="C108" s="3"/>
      <c r="D108" s="3"/>
      <c r="E108" s="3"/>
      <c r="F108" s="3"/>
      <c r="G108" s="3"/>
      <c r="H108" s="3"/>
      <c r="I108" s="61"/>
      <c r="J108" s="300"/>
      <c r="K108" s="3"/>
      <c r="L108" s="3"/>
      <c r="M108" s="3"/>
      <c r="N108" s="3"/>
      <c r="O108" s="3"/>
      <c r="P108" s="3"/>
    </row>
    <row r="109" spans="1:16" hidden="1" x14ac:dyDescent="0.2">
      <c r="A109" s="59"/>
      <c r="B109" s="9"/>
      <c r="C109" s="9"/>
      <c r="D109" s="9"/>
      <c r="E109" s="9"/>
      <c r="F109" s="9"/>
      <c r="G109" s="9"/>
      <c r="H109" s="9"/>
      <c r="I109" s="97"/>
      <c r="J109" s="59"/>
      <c r="K109" s="9"/>
      <c r="L109" s="9"/>
      <c r="M109" s="9"/>
      <c r="N109" s="9"/>
      <c r="O109" s="9"/>
      <c r="P109" s="9"/>
    </row>
    <row r="110" spans="1:16" hidden="1" x14ac:dyDescent="0.2">
      <c r="A110" s="316">
        <v>2</v>
      </c>
      <c r="B110" s="39" t="s">
        <v>127</v>
      </c>
      <c r="C110" s="39"/>
      <c r="D110" s="39"/>
      <c r="E110" s="39"/>
      <c r="F110" s="39"/>
      <c r="G110" s="39"/>
      <c r="H110" s="39"/>
      <c r="I110" s="319"/>
      <c r="J110" s="316"/>
      <c r="K110" s="39"/>
      <c r="L110" s="39"/>
      <c r="M110" s="39"/>
      <c r="N110" s="39"/>
      <c r="O110" s="39"/>
      <c r="P110" s="39"/>
    </row>
    <row r="111" spans="1:16" hidden="1" x14ac:dyDescent="0.2">
      <c r="A111" s="464" t="s">
        <v>128</v>
      </c>
      <c r="B111" s="465"/>
      <c r="C111" s="465"/>
      <c r="D111" s="465"/>
      <c r="E111" s="465"/>
      <c r="F111" s="465"/>
      <c r="G111" s="465"/>
      <c r="H111" s="465"/>
      <c r="I111" s="297" t="s">
        <v>71</v>
      </c>
      <c r="J111" s="464"/>
      <c r="K111" s="465"/>
      <c r="L111" s="465"/>
      <c r="M111" s="465"/>
      <c r="N111" s="465"/>
      <c r="O111" s="465"/>
      <c r="P111" s="465"/>
    </row>
    <row r="112" spans="1:16" hidden="1" x14ac:dyDescent="0.2">
      <c r="A112" s="296" t="s">
        <v>84</v>
      </c>
      <c r="B112" s="486" t="s">
        <v>129</v>
      </c>
      <c r="C112" s="486"/>
      <c r="D112" s="486"/>
      <c r="E112" s="486"/>
      <c r="F112" s="486"/>
      <c r="G112" s="486"/>
      <c r="H112" s="486"/>
      <c r="I112" s="82">
        <f>I69</f>
        <v>429.5402128853334</v>
      </c>
      <c r="J112" s="296"/>
      <c r="K112" s="486"/>
      <c r="L112" s="486"/>
      <c r="M112" s="486"/>
      <c r="N112" s="486"/>
      <c r="O112" s="486"/>
      <c r="P112" s="486"/>
    </row>
    <row r="113" spans="1:16" hidden="1" x14ac:dyDescent="0.2">
      <c r="A113" s="296" t="s">
        <v>96</v>
      </c>
      <c r="B113" s="486" t="s">
        <v>130</v>
      </c>
      <c r="C113" s="486"/>
      <c r="D113" s="486"/>
      <c r="E113" s="486"/>
      <c r="F113" s="486"/>
      <c r="G113" s="486"/>
      <c r="H113" s="486"/>
      <c r="I113" s="82">
        <f>I88</f>
        <v>565.51664000000005</v>
      </c>
      <c r="J113" s="296"/>
      <c r="K113" s="486"/>
      <c r="L113" s="486"/>
      <c r="M113" s="486"/>
      <c r="N113" s="486"/>
      <c r="O113" s="486"/>
      <c r="P113" s="486"/>
    </row>
    <row r="114" spans="1:16" hidden="1" x14ac:dyDescent="0.2">
      <c r="A114" s="296" t="s">
        <v>113</v>
      </c>
      <c r="B114" s="486" t="s">
        <v>131</v>
      </c>
      <c r="C114" s="486"/>
      <c r="D114" s="486"/>
      <c r="E114" s="486"/>
      <c r="F114" s="486"/>
      <c r="G114" s="486"/>
      <c r="H114" s="486"/>
      <c r="I114" s="82">
        <f>I103</f>
        <v>685.39620000000002</v>
      </c>
      <c r="J114" s="296"/>
      <c r="K114" s="486"/>
      <c r="L114" s="486"/>
      <c r="M114" s="486"/>
      <c r="N114" s="486"/>
      <c r="O114" s="486"/>
      <c r="P114" s="486"/>
    </row>
    <row r="115" spans="1:16" hidden="1" x14ac:dyDescent="0.2">
      <c r="A115" s="475" t="s">
        <v>132</v>
      </c>
      <c r="B115" s="487"/>
      <c r="C115" s="487"/>
      <c r="D115" s="487"/>
      <c r="E115" s="487"/>
      <c r="F115" s="487"/>
      <c r="G115" s="487"/>
      <c r="H115" s="487"/>
      <c r="I115" s="320">
        <f>SUM(I112:I114)</f>
        <v>1680.4530528853334</v>
      </c>
      <c r="J115" s="475"/>
      <c r="K115" s="487"/>
      <c r="L115" s="487"/>
      <c r="M115" s="487"/>
      <c r="N115" s="487"/>
      <c r="O115" s="487"/>
      <c r="P115" s="487"/>
    </row>
    <row r="116" spans="1:16" hidden="1" x14ac:dyDescent="0.2">
      <c r="A116" s="488"/>
      <c r="B116" s="489"/>
      <c r="C116" s="489"/>
      <c r="D116" s="489"/>
      <c r="E116" s="489"/>
      <c r="F116" s="489"/>
      <c r="G116" s="489"/>
      <c r="H116" s="489"/>
      <c r="I116" s="490"/>
      <c r="J116" s="488"/>
      <c r="K116" s="489"/>
      <c r="L116" s="489"/>
      <c r="M116" s="489"/>
      <c r="N116" s="489"/>
      <c r="O116" s="489"/>
      <c r="P116" s="489"/>
    </row>
    <row r="117" spans="1:16" ht="13.5" hidden="1" customHeight="1" x14ac:dyDescent="0.2">
      <c r="A117" s="469" t="s">
        <v>133</v>
      </c>
      <c r="B117" s="470"/>
      <c r="C117" s="470"/>
      <c r="D117" s="470"/>
      <c r="E117" s="470"/>
      <c r="F117" s="470"/>
      <c r="G117" s="470"/>
      <c r="H117" s="470"/>
      <c r="I117" s="471"/>
      <c r="J117" s="469"/>
      <c r="K117" s="470"/>
      <c r="L117" s="470"/>
      <c r="M117" s="470"/>
      <c r="N117" s="470"/>
      <c r="O117" s="470"/>
      <c r="P117" s="470"/>
    </row>
    <row r="118" spans="1:16" ht="14.1" hidden="1" customHeight="1" x14ac:dyDescent="0.2">
      <c r="A118" s="296">
        <v>3</v>
      </c>
      <c r="B118" s="465" t="s">
        <v>134</v>
      </c>
      <c r="C118" s="465"/>
      <c r="D118" s="465"/>
      <c r="E118" s="465"/>
      <c r="F118" s="465"/>
      <c r="G118" s="465"/>
      <c r="H118" s="8" t="s">
        <v>70</v>
      </c>
      <c r="I118" s="297" t="s">
        <v>71</v>
      </c>
      <c r="J118" s="296"/>
      <c r="K118" s="465"/>
      <c r="L118" s="465"/>
      <c r="M118" s="465"/>
      <c r="N118" s="465"/>
      <c r="O118" s="465"/>
      <c r="P118" s="465"/>
    </row>
    <row r="119" spans="1:16" hidden="1" x14ac:dyDescent="0.2">
      <c r="A119" s="296" t="s">
        <v>37</v>
      </c>
      <c r="B119" s="454" t="s">
        <v>135</v>
      </c>
      <c r="C119" s="454"/>
      <c r="D119" s="454"/>
      <c r="E119" s="454"/>
      <c r="F119" s="454"/>
      <c r="G119" s="454"/>
      <c r="H119" s="1">
        <v>4.1999999999999997E-3</v>
      </c>
      <c r="I119" s="82">
        <f>H119*I58</f>
        <v>6.4542659999999996</v>
      </c>
      <c r="J119" s="296"/>
      <c r="K119" s="454"/>
      <c r="L119" s="454"/>
      <c r="M119" s="454"/>
      <c r="N119" s="454"/>
      <c r="O119" s="454"/>
      <c r="P119" s="454"/>
    </row>
    <row r="120" spans="1:16" hidden="1" x14ac:dyDescent="0.2">
      <c r="A120" s="313" t="s">
        <v>39</v>
      </c>
      <c r="B120" s="479" t="s">
        <v>136</v>
      </c>
      <c r="C120" s="479"/>
      <c r="D120" s="479"/>
      <c r="E120" s="479"/>
      <c r="F120" s="479"/>
      <c r="G120" s="479"/>
      <c r="H120" s="149">
        <f>H87</f>
        <v>0.08</v>
      </c>
      <c r="I120" s="83">
        <f>I119*H120</f>
        <v>0.51634128000000001</v>
      </c>
      <c r="J120" s="313"/>
      <c r="K120" s="479"/>
      <c r="L120" s="479"/>
      <c r="M120" s="479"/>
      <c r="N120" s="479"/>
      <c r="O120" s="479"/>
      <c r="P120" s="479"/>
    </row>
    <row r="121" spans="1:16" ht="24.75" hidden="1" customHeight="1" x14ac:dyDescent="0.2">
      <c r="A121" s="313" t="s">
        <v>41</v>
      </c>
      <c r="B121" s="479" t="s">
        <v>137</v>
      </c>
      <c r="C121" s="479"/>
      <c r="D121" s="479"/>
      <c r="E121" s="479"/>
      <c r="F121" s="479"/>
      <c r="G121" s="479"/>
      <c r="H121" s="149">
        <v>2E-3</v>
      </c>
      <c r="I121" s="83">
        <f>H121*I58</f>
        <v>3.0734600000000003</v>
      </c>
      <c r="J121" s="313"/>
      <c r="K121" s="479"/>
      <c r="L121" s="479"/>
      <c r="M121" s="479"/>
      <c r="N121" s="479"/>
      <c r="O121" s="479"/>
      <c r="P121" s="479"/>
    </row>
    <row r="122" spans="1:16" hidden="1" x14ac:dyDescent="0.2">
      <c r="A122" s="296" t="s">
        <v>44</v>
      </c>
      <c r="B122" s="454" t="s">
        <v>138</v>
      </c>
      <c r="C122" s="454"/>
      <c r="D122" s="454"/>
      <c r="E122" s="454"/>
      <c r="F122" s="454"/>
      <c r="G122" s="454"/>
      <c r="H122" s="1">
        <v>1.9400000000000001E-2</v>
      </c>
      <c r="I122" s="82">
        <f>H122*I58</f>
        <v>29.812562</v>
      </c>
      <c r="J122" s="296"/>
      <c r="K122" s="454"/>
      <c r="L122" s="454"/>
      <c r="M122" s="454"/>
      <c r="N122" s="454"/>
      <c r="O122" s="454"/>
      <c r="P122" s="454"/>
    </row>
    <row r="123" spans="1:16" hidden="1" x14ac:dyDescent="0.2">
      <c r="A123" s="296" t="s">
        <v>76</v>
      </c>
      <c r="B123" s="491" t="s">
        <v>139</v>
      </c>
      <c r="C123" s="491"/>
      <c r="D123" s="491"/>
      <c r="E123" s="491"/>
      <c r="F123" s="491"/>
      <c r="G123" s="491"/>
      <c r="H123" s="22">
        <f>H88</f>
        <v>0.36800000000000005</v>
      </c>
      <c r="I123" s="82">
        <f>I122*H123</f>
        <v>10.971022816000001</v>
      </c>
      <c r="J123" s="296"/>
      <c r="K123" s="491"/>
      <c r="L123" s="491"/>
      <c r="M123" s="491"/>
      <c r="N123" s="491"/>
      <c r="O123" s="491"/>
      <c r="P123" s="491"/>
    </row>
    <row r="124" spans="1:16" ht="25.5" hidden="1" customHeight="1" x14ac:dyDescent="0.2">
      <c r="A124" s="313" t="s">
        <v>78</v>
      </c>
      <c r="B124" s="479" t="s">
        <v>140</v>
      </c>
      <c r="C124" s="479"/>
      <c r="D124" s="479"/>
      <c r="E124" s="479"/>
      <c r="F124" s="479"/>
      <c r="G124" s="479"/>
      <c r="H124" s="149">
        <v>3.7999999999999999E-2</v>
      </c>
      <c r="I124" s="83">
        <f>H124*I58</f>
        <v>58.395739999999996</v>
      </c>
      <c r="J124" s="313"/>
      <c r="K124" s="479"/>
      <c r="L124" s="479"/>
      <c r="M124" s="479"/>
      <c r="N124" s="479"/>
      <c r="O124" s="479"/>
      <c r="P124" s="479"/>
    </row>
    <row r="125" spans="1:16" hidden="1" x14ac:dyDescent="0.2">
      <c r="A125" s="475" t="s">
        <v>141</v>
      </c>
      <c r="B125" s="487"/>
      <c r="C125" s="487"/>
      <c r="D125" s="487"/>
      <c r="E125" s="487"/>
      <c r="F125" s="487"/>
      <c r="G125" s="487"/>
      <c r="H125" s="33"/>
      <c r="I125" s="320">
        <f>SUM(I119:I124)</f>
        <v>109.223392096</v>
      </c>
      <c r="J125" s="475"/>
      <c r="K125" s="487"/>
      <c r="L125" s="487"/>
      <c r="M125" s="487"/>
      <c r="N125" s="487"/>
      <c r="O125" s="487"/>
      <c r="P125" s="487"/>
    </row>
    <row r="126" spans="1:16" hidden="1" x14ac:dyDescent="0.2">
      <c r="A126" s="492"/>
      <c r="B126" s="493"/>
      <c r="C126" s="493"/>
      <c r="D126" s="493"/>
      <c r="E126" s="493"/>
      <c r="F126" s="493"/>
      <c r="G126" s="493"/>
      <c r="H126" s="493"/>
      <c r="I126" s="494"/>
      <c r="J126" s="492"/>
      <c r="K126" s="493"/>
      <c r="L126" s="493"/>
      <c r="M126" s="493"/>
      <c r="N126" s="493"/>
      <c r="O126" s="493"/>
      <c r="P126" s="493"/>
    </row>
    <row r="127" spans="1:16" hidden="1" x14ac:dyDescent="0.2">
      <c r="A127" s="469" t="s">
        <v>142</v>
      </c>
      <c r="B127" s="470"/>
      <c r="C127" s="470"/>
      <c r="D127" s="470"/>
      <c r="E127" s="470"/>
      <c r="F127" s="470"/>
      <c r="G127" s="470"/>
      <c r="H127" s="470"/>
      <c r="I127" s="471"/>
      <c r="J127" s="469"/>
      <c r="K127" s="470"/>
      <c r="L127" s="470"/>
      <c r="M127" s="470"/>
      <c r="N127" s="470"/>
      <c r="O127" s="470"/>
      <c r="P127" s="470"/>
    </row>
    <row r="128" spans="1:16" hidden="1" x14ac:dyDescent="0.2">
      <c r="A128" s="312"/>
      <c r="B128" s="3"/>
      <c r="C128" s="3"/>
      <c r="D128" s="3"/>
      <c r="E128" s="3"/>
      <c r="F128" s="3"/>
      <c r="G128" s="3"/>
      <c r="H128" s="3"/>
      <c r="I128" s="321"/>
      <c r="J128" s="312"/>
      <c r="K128" s="3"/>
      <c r="L128" s="3"/>
      <c r="M128" s="3"/>
      <c r="N128" s="3"/>
      <c r="O128" s="3"/>
      <c r="P128" s="3"/>
    </row>
    <row r="129" spans="1:17" hidden="1" x14ac:dyDescent="0.2">
      <c r="A129" s="300" t="s">
        <v>143</v>
      </c>
      <c r="B129" s="3"/>
      <c r="C129" s="3"/>
      <c r="D129" s="3"/>
      <c r="E129" s="3"/>
      <c r="F129" s="3"/>
      <c r="G129" s="3"/>
      <c r="H129" s="3"/>
      <c r="I129" s="321"/>
      <c r="J129" s="300"/>
      <c r="K129" s="3"/>
      <c r="L129" s="3"/>
      <c r="M129" s="3"/>
      <c r="N129" s="3"/>
      <c r="O129" s="3"/>
      <c r="P129" s="3"/>
    </row>
    <row r="130" spans="1:17" hidden="1" x14ac:dyDescent="0.2">
      <c r="A130" s="300" t="s">
        <v>144</v>
      </c>
      <c r="B130" s="3"/>
      <c r="C130" s="3"/>
      <c r="D130" s="3"/>
      <c r="E130" s="3"/>
      <c r="F130" s="3"/>
      <c r="G130" s="3"/>
      <c r="H130" s="3"/>
      <c r="I130" s="321"/>
      <c r="J130" s="300"/>
      <c r="K130" s="3"/>
      <c r="L130" s="3"/>
      <c r="M130" s="3"/>
      <c r="N130" s="3"/>
      <c r="O130" s="3"/>
      <c r="P130" s="3"/>
    </row>
    <row r="131" spans="1:17" hidden="1" x14ac:dyDescent="0.2">
      <c r="A131" s="312"/>
      <c r="B131" s="3"/>
      <c r="C131" s="3"/>
      <c r="D131" s="3"/>
      <c r="E131" s="3"/>
      <c r="F131" s="3"/>
      <c r="G131" s="3"/>
      <c r="H131" s="3"/>
      <c r="I131" s="321"/>
      <c r="J131" s="312"/>
      <c r="K131" s="3"/>
      <c r="L131" s="3"/>
      <c r="M131" s="3"/>
      <c r="N131" s="3"/>
      <c r="O131" s="3"/>
      <c r="P131" s="3"/>
    </row>
    <row r="132" spans="1:17" hidden="1" x14ac:dyDescent="0.2">
      <c r="A132" s="316" t="s">
        <v>145</v>
      </c>
      <c r="B132" s="457" t="s">
        <v>146</v>
      </c>
      <c r="C132" s="457"/>
      <c r="D132" s="457"/>
      <c r="E132" s="457"/>
      <c r="F132" s="457"/>
      <c r="G132" s="457"/>
      <c r="H132" s="26" t="s">
        <v>70</v>
      </c>
      <c r="I132" s="291" t="s">
        <v>71</v>
      </c>
      <c r="J132" s="316"/>
      <c r="K132" s="457"/>
      <c r="L132" s="457"/>
      <c r="M132" s="457"/>
      <c r="N132" s="457"/>
      <c r="O132" s="457"/>
      <c r="P132" s="457"/>
    </row>
    <row r="133" spans="1:17" ht="14.1" hidden="1" customHeight="1" x14ac:dyDescent="0.2">
      <c r="A133" s="316" t="s">
        <v>37</v>
      </c>
      <c r="B133" s="454" t="s">
        <v>147</v>
      </c>
      <c r="C133" s="454"/>
      <c r="D133" s="454"/>
      <c r="E133" s="454"/>
      <c r="F133" s="454"/>
      <c r="G133" s="454"/>
      <c r="H133" s="34"/>
      <c r="I133" s="314"/>
      <c r="J133" s="316"/>
      <c r="K133" s="454"/>
      <c r="L133" s="454"/>
      <c r="M133" s="454"/>
      <c r="N133" s="454"/>
      <c r="O133" s="454"/>
      <c r="P133" s="454"/>
    </row>
    <row r="134" spans="1:17" hidden="1" x14ac:dyDescent="0.2">
      <c r="A134" s="296" t="s">
        <v>39</v>
      </c>
      <c r="B134" s="454" t="s">
        <v>148</v>
      </c>
      <c r="C134" s="454"/>
      <c r="D134" s="454"/>
      <c r="E134" s="454"/>
      <c r="F134" s="454"/>
      <c r="G134" s="454"/>
      <c r="H134" s="157">
        <v>1.67E-2</v>
      </c>
      <c r="I134" s="82">
        <f>H134*$I$58</f>
        <v>25.663391000000001</v>
      </c>
      <c r="J134" s="296"/>
      <c r="K134" s="454"/>
      <c r="L134" s="454"/>
      <c r="M134" s="454"/>
      <c r="N134" s="454"/>
      <c r="O134" s="454"/>
      <c r="P134" s="454"/>
      <c r="Q134" s="25"/>
    </row>
    <row r="135" spans="1:17" hidden="1" x14ac:dyDescent="0.2">
      <c r="A135" s="296" t="s">
        <v>41</v>
      </c>
      <c r="B135" s="454" t="s">
        <v>149</v>
      </c>
      <c r="C135" s="454"/>
      <c r="D135" s="454"/>
      <c r="E135" s="454"/>
      <c r="F135" s="454"/>
      <c r="G135" s="454"/>
      <c r="H135" s="157">
        <v>2.0000000000000001E-4</v>
      </c>
      <c r="I135" s="82">
        <f>H135*$I$58</f>
        <v>0.30734600000000001</v>
      </c>
      <c r="J135" s="296"/>
      <c r="K135" s="454"/>
      <c r="L135" s="454"/>
      <c r="M135" s="454"/>
      <c r="N135" s="454"/>
      <c r="O135" s="454"/>
      <c r="P135" s="454"/>
      <c r="Q135" s="25"/>
    </row>
    <row r="136" spans="1:17" hidden="1" x14ac:dyDescent="0.2">
      <c r="A136" s="313" t="s">
        <v>44</v>
      </c>
      <c r="B136" s="479" t="s">
        <v>150</v>
      </c>
      <c r="C136" s="479"/>
      <c r="D136" s="479"/>
      <c r="E136" s="479"/>
      <c r="F136" s="479"/>
      <c r="G136" s="479"/>
      <c r="H136" s="149">
        <v>6.9999999999999999E-4</v>
      </c>
      <c r="I136" s="83">
        <f>H136*$I$58</f>
        <v>1.0757110000000001</v>
      </c>
      <c r="J136" s="313"/>
      <c r="K136" s="479"/>
      <c r="L136" s="479"/>
      <c r="M136" s="479"/>
      <c r="N136" s="479"/>
      <c r="O136" s="479"/>
      <c r="P136" s="479"/>
      <c r="Q136" s="25"/>
    </row>
    <row r="137" spans="1:17" hidden="1" x14ac:dyDescent="0.2">
      <c r="A137" s="296" t="s">
        <v>76</v>
      </c>
      <c r="B137" s="454" t="s">
        <v>151</v>
      </c>
      <c r="C137" s="454"/>
      <c r="D137" s="454"/>
      <c r="E137" s="454"/>
      <c r="F137" s="454"/>
      <c r="G137" s="454"/>
      <c r="H137" s="157">
        <v>2.8999999999999998E-3</v>
      </c>
      <c r="I137" s="82">
        <f>H137*$I$58</f>
        <v>4.4565169999999998</v>
      </c>
      <c r="J137" s="296"/>
      <c r="K137" s="454"/>
      <c r="L137" s="454"/>
      <c r="M137" s="454"/>
      <c r="N137" s="454"/>
      <c r="O137" s="454"/>
      <c r="P137" s="454"/>
      <c r="Q137" s="25"/>
    </row>
    <row r="138" spans="1:17" hidden="1" x14ac:dyDescent="0.2">
      <c r="A138" s="296" t="s">
        <v>78</v>
      </c>
      <c r="B138" s="454" t="s">
        <v>152</v>
      </c>
      <c r="C138" s="454"/>
      <c r="D138" s="454"/>
      <c r="E138" s="454"/>
      <c r="F138" s="454"/>
      <c r="G138" s="454"/>
      <c r="H138" s="157"/>
      <c r="I138" s="82">
        <f t="shared" ref="I138" si="2">H138*$I$58</f>
        <v>0</v>
      </c>
      <c r="J138" s="296"/>
      <c r="K138" s="454"/>
      <c r="L138" s="454"/>
      <c r="M138" s="454"/>
      <c r="N138" s="454"/>
      <c r="O138" s="454"/>
      <c r="P138" s="454"/>
      <c r="Q138" s="25"/>
    </row>
    <row r="139" spans="1:17" hidden="1" x14ac:dyDescent="0.2">
      <c r="A139" s="456" t="s">
        <v>153</v>
      </c>
      <c r="B139" s="457"/>
      <c r="C139" s="457"/>
      <c r="D139" s="457"/>
      <c r="E139" s="457"/>
      <c r="F139" s="457"/>
      <c r="G139" s="457"/>
      <c r="H139" s="33"/>
      <c r="I139" s="314">
        <f>SUM(I134:I138)</f>
        <v>31.502964999999996</v>
      </c>
      <c r="J139" s="456"/>
      <c r="K139" s="457"/>
      <c r="L139" s="457"/>
      <c r="M139" s="457"/>
      <c r="N139" s="457"/>
      <c r="O139" s="457"/>
      <c r="P139" s="457"/>
      <c r="Q139" s="25"/>
    </row>
    <row r="140" spans="1:17" hidden="1" x14ac:dyDescent="0.2">
      <c r="A140" s="296" t="s">
        <v>78</v>
      </c>
      <c r="B140" s="454" t="s">
        <v>154</v>
      </c>
      <c r="C140" s="454"/>
      <c r="D140" s="454"/>
      <c r="E140" s="454"/>
      <c r="F140" s="454"/>
      <c r="G140" s="454"/>
      <c r="H140" s="1">
        <f>H88</f>
        <v>0.36800000000000005</v>
      </c>
      <c r="I140" s="82">
        <f>I139*H140</f>
        <v>11.59309112</v>
      </c>
      <c r="J140" s="296"/>
      <c r="K140" s="454"/>
      <c r="L140" s="454"/>
      <c r="M140" s="454"/>
      <c r="N140" s="454"/>
      <c r="O140" s="454"/>
      <c r="P140" s="454"/>
    </row>
    <row r="141" spans="1:17" hidden="1" x14ac:dyDescent="0.2">
      <c r="A141" s="456" t="s">
        <v>155</v>
      </c>
      <c r="B141" s="457"/>
      <c r="C141" s="457"/>
      <c r="D141" s="457"/>
      <c r="E141" s="457"/>
      <c r="F141" s="457"/>
      <c r="G141" s="457"/>
      <c r="H141" s="33"/>
      <c r="I141" s="314">
        <f>SUM(I139:I140)</f>
        <v>43.09605612</v>
      </c>
      <c r="J141" s="456"/>
      <c r="K141" s="457"/>
      <c r="L141" s="457"/>
      <c r="M141" s="457"/>
      <c r="N141" s="457"/>
      <c r="O141" s="457"/>
      <c r="P141" s="457"/>
    </row>
    <row r="142" spans="1:17" hidden="1" x14ac:dyDescent="0.2">
      <c r="A142" s="312"/>
      <c r="B142" s="3"/>
      <c r="C142" s="3"/>
      <c r="D142" s="3"/>
      <c r="E142" s="3"/>
      <c r="F142" s="3"/>
      <c r="G142" s="3"/>
      <c r="H142" s="3"/>
      <c r="I142" s="321"/>
      <c r="J142" s="312"/>
      <c r="K142" s="3"/>
      <c r="L142" s="3"/>
      <c r="M142" s="3"/>
      <c r="N142" s="3"/>
      <c r="O142" s="3"/>
      <c r="P142" s="3"/>
    </row>
    <row r="143" spans="1:17" hidden="1" x14ac:dyDescent="0.2">
      <c r="A143" s="316" t="s">
        <v>156</v>
      </c>
      <c r="B143" s="483" t="s">
        <v>157</v>
      </c>
      <c r="C143" s="484"/>
      <c r="D143" s="484"/>
      <c r="E143" s="484"/>
      <c r="F143" s="484"/>
      <c r="G143" s="485"/>
      <c r="H143" s="26" t="s">
        <v>70</v>
      </c>
      <c r="I143" s="291" t="s">
        <v>71</v>
      </c>
      <c r="J143" s="316"/>
      <c r="K143" s="483"/>
      <c r="L143" s="484"/>
      <c r="M143" s="484"/>
      <c r="N143" s="484"/>
      <c r="O143" s="484"/>
      <c r="P143" s="485"/>
    </row>
    <row r="144" spans="1:17" hidden="1" x14ac:dyDescent="0.2">
      <c r="A144" s="296" t="s">
        <v>37</v>
      </c>
      <c r="B144" s="501" t="s">
        <v>158</v>
      </c>
      <c r="C144" s="502"/>
      <c r="D144" s="502"/>
      <c r="E144" s="502"/>
      <c r="F144" s="502"/>
      <c r="G144" s="503"/>
      <c r="H144" s="157">
        <v>0</v>
      </c>
      <c r="I144" s="82">
        <v>0</v>
      </c>
      <c r="J144" s="296"/>
      <c r="K144" s="501"/>
      <c r="L144" s="502"/>
      <c r="M144" s="502"/>
      <c r="N144" s="502"/>
      <c r="O144" s="502"/>
      <c r="P144" s="503"/>
    </row>
    <row r="145" spans="1:18" hidden="1" x14ac:dyDescent="0.2">
      <c r="A145" s="504" t="s">
        <v>159</v>
      </c>
      <c r="B145" s="484"/>
      <c r="C145" s="484"/>
      <c r="D145" s="484"/>
      <c r="E145" s="484"/>
      <c r="F145" s="484"/>
      <c r="G145" s="485"/>
      <c r="H145" s="33">
        <f>TRUNC(SUM(H144),4)</f>
        <v>0</v>
      </c>
      <c r="I145" s="314">
        <f>SUM(I144)</f>
        <v>0</v>
      </c>
      <c r="J145" s="504"/>
      <c r="K145" s="484"/>
      <c r="L145" s="484"/>
      <c r="M145" s="484"/>
      <c r="N145" s="484"/>
      <c r="O145" s="484"/>
      <c r="P145" s="485"/>
    </row>
    <row r="146" spans="1:18" hidden="1" x14ac:dyDescent="0.2">
      <c r="A146" s="42"/>
      <c r="B146" s="36"/>
      <c r="C146" s="36"/>
      <c r="D146" s="36"/>
      <c r="E146" s="36"/>
      <c r="F146" s="36"/>
      <c r="G146" s="36"/>
      <c r="H146" s="36"/>
      <c r="I146" s="315"/>
      <c r="J146" s="42"/>
      <c r="K146" s="36"/>
      <c r="L146" s="36"/>
      <c r="M146" s="36"/>
      <c r="N146" s="36"/>
      <c r="O146" s="36"/>
      <c r="P146" s="36"/>
    </row>
    <row r="147" spans="1:18" hidden="1" x14ac:dyDescent="0.2">
      <c r="A147" s="456" t="s">
        <v>160</v>
      </c>
      <c r="B147" s="457"/>
      <c r="C147" s="457"/>
      <c r="D147" s="457"/>
      <c r="E147" s="457"/>
      <c r="F147" s="457"/>
      <c r="G147" s="457"/>
      <c r="H147" s="457"/>
      <c r="I147" s="458"/>
      <c r="J147" s="456"/>
      <c r="K147" s="457"/>
      <c r="L147" s="457"/>
      <c r="M147" s="457"/>
      <c r="N147" s="457"/>
      <c r="O147" s="457"/>
      <c r="P147" s="457"/>
    </row>
    <row r="148" spans="1:18" hidden="1" x14ac:dyDescent="0.2">
      <c r="A148" s="313">
        <v>4</v>
      </c>
      <c r="B148" s="495" t="s">
        <v>161</v>
      </c>
      <c r="C148" s="496"/>
      <c r="D148" s="496"/>
      <c r="E148" s="496"/>
      <c r="F148" s="496"/>
      <c r="G148" s="497"/>
      <c r="H148" s="37"/>
      <c r="I148" s="297" t="s">
        <v>71</v>
      </c>
      <c r="J148" s="313"/>
      <c r="K148" s="495"/>
      <c r="L148" s="496"/>
      <c r="M148" s="496"/>
      <c r="N148" s="496"/>
      <c r="O148" s="496"/>
      <c r="P148" s="497"/>
    </row>
    <row r="149" spans="1:18" hidden="1" x14ac:dyDescent="0.2">
      <c r="A149" s="296" t="s">
        <v>145</v>
      </c>
      <c r="B149" s="498" t="s">
        <v>162</v>
      </c>
      <c r="C149" s="499"/>
      <c r="D149" s="499"/>
      <c r="E149" s="499"/>
      <c r="F149" s="499"/>
      <c r="G149" s="500"/>
      <c r="H149" s="20"/>
      <c r="I149" s="82">
        <f>I141</f>
        <v>43.09605612</v>
      </c>
      <c r="J149" s="296"/>
      <c r="K149" s="498"/>
      <c r="L149" s="499"/>
      <c r="M149" s="499"/>
      <c r="N149" s="499"/>
      <c r="O149" s="499"/>
      <c r="P149" s="500"/>
    </row>
    <row r="150" spans="1:18" hidden="1" x14ac:dyDescent="0.2">
      <c r="A150" s="296" t="s">
        <v>156</v>
      </c>
      <c r="B150" s="498" t="s">
        <v>163</v>
      </c>
      <c r="C150" s="499"/>
      <c r="D150" s="499"/>
      <c r="E150" s="499"/>
      <c r="F150" s="499"/>
      <c r="G150" s="500"/>
      <c r="H150" s="20"/>
      <c r="I150" s="82">
        <f>I145</f>
        <v>0</v>
      </c>
      <c r="J150" s="296"/>
      <c r="K150" s="498"/>
      <c r="L150" s="499"/>
      <c r="M150" s="499"/>
      <c r="N150" s="499"/>
      <c r="O150" s="499"/>
      <c r="P150" s="500"/>
    </row>
    <row r="151" spans="1:18" hidden="1" x14ac:dyDescent="0.2">
      <c r="A151" s="475" t="s">
        <v>164</v>
      </c>
      <c r="B151" s="487"/>
      <c r="C151" s="487"/>
      <c r="D151" s="487"/>
      <c r="E151" s="487"/>
      <c r="F151" s="487"/>
      <c r="G151" s="487"/>
      <c r="H151" s="487"/>
      <c r="I151" s="320">
        <f>SUM(I149:I150)</f>
        <v>43.09605612</v>
      </c>
      <c r="J151" s="475"/>
      <c r="K151" s="487"/>
      <c r="L151" s="487"/>
      <c r="M151" s="487"/>
      <c r="N151" s="487"/>
      <c r="O151" s="487"/>
      <c r="P151" s="487"/>
    </row>
    <row r="152" spans="1:18" hidden="1" x14ac:dyDescent="0.2">
      <c r="A152" s="488"/>
      <c r="B152" s="489"/>
      <c r="C152" s="489"/>
      <c r="D152" s="489"/>
      <c r="E152" s="489"/>
      <c r="F152" s="489"/>
      <c r="G152" s="489"/>
      <c r="H152" s="489"/>
      <c r="I152" s="490"/>
      <c r="J152" s="488"/>
      <c r="K152" s="489"/>
      <c r="L152" s="489"/>
      <c r="M152" s="489"/>
      <c r="N152" s="489"/>
      <c r="O152" s="489"/>
      <c r="P152" s="489"/>
    </row>
    <row r="153" spans="1:18" hidden="1" x14ac:dyDescent="0.2">
      <c r="A153" s="469" t="s">
        <v>165</v>
      </c>
      <c r="B153" s="470"/>
      <c r="C153" s="470"/>
      <c r="D153" s="470"/>
      <c r="E153" s="470"/>
      <c r="F153" s="470"/>
      <c r="G153" s="470"/>
      <c r="H153" s="470"/>
      <c r="I153" s="471"/>
      <c r="J153" s="469"/>
      <c r="K153" s="470"/>
      <c r="L153" s="470"/>
      <c r="M153" s="470"/>
      <c r="N153" s="470"/>
      <c r="O153" s="470"/>
      <c r="P153" s="470"/>
    </row>
    <row r="154" spans="1:18" hidden="1" x14ac:dyDescent="0.2">
      <c r="A154" s="296">
        <v>5</v>
      </c>
      <c r="B154" s="465" t="s">
        <v>166</v>
      </c>
      <c r="C154" s="465"/>
      <c r="D154" s="465"/>
      <c r="E154" s="465"/>
      <c r="F154" s="465"/>
      <c r="G154" s="465"/>
      <c r="H154" s="8"/>
      <c r="I154" s="297" t="s">
        <v>71</v>
      </c>
      <c r="J154" s="296"/>
      <c r="K154" s="465"/>
      <c r="L154" s="465"/>
      <c r="M154" s="465"/>
      <c r="N154" s="465"/>
      <c r="O154" s="465"/>
      <c r="P154" s="465"/>
    </row>
    <row r="155" spans="1:18" hidden="1" x14ac:dyDescent="0.2">
      <c r="A155" s="296" t="s">
        <v>37</v>
      </c>
      <c r="B155" s="480" t="s">
        <v>167</v>
      </c>
      <c r="C155" s="480"/>
      <c r="D155" s="480"/>
      <c r="E155" s="480"/>
      <c r="F155" s="480"/>
      <c r="G155" s="480"/>
      <c r="H155" s="21" t="s">
        <v>116</v>
      </c>
      <c r="I155" s="82">
        <f>'Uniform&amp;EPIs '!K24</f>
        <v>40.434166666666663</v>
      </c>
      <c r="J155" s="296"/>
      <c r="K155" s="480"/>
      <c r="L155" s="480"/>
      <c r="M155" s="480"/>
      <c r="N155" s="480"/>
      <c r="O155" s="480"/>
      <c r="P155" s="480"/>
    </row>
    <row r="156" spans="1:18" ht="25.5" hidden="1" x14ac:dyDescent="0.2">
      <c r="A156" s="296" t="s">
        <v>39</v>
      </c>
      <c r="B156" s="480" t="s">
        <v>168</v>
      </c>
      <c r="C156" s="480"/>
      <c r="D156" s="480"/>
      <c r="E156" s="480"/>
      <c r="F156" s="480"/>
      <c r="G156" s="480"/>
      <c r="H156" s="21" t="s">
        <v>116</v>
      </c>
      <c r="I156" s="82"/>
      <c r="J156" s="296"/>
      <c r="K156" s="480"/>
      <c r="L156" s="480"/>
      <c r="M156" s="480"/>
      <c r="N156" s="480"/>
      <c r="O156" s="480"/>
      <c r="P156" s="480"/>
      <c r="R156" s="369" t="s">
        <v>221</v>
      </c>
    </row>
    <row r="157" spans="1:18" hidden="1" x14ac:dyDescent="0.2">
      <c r="A157" s="322" t="s">
        <v>41</v>
      </c>
      <c r="B157" s="480" t="s">
        <v>222</v>
      </c>
      <c r="C157" s="480"/>
      <c r="D157" s="480"/>
      <c r="E157" s="480"/>
      <c r="F157" s="480"/>
      <c r="G157" s="480"/>
      <c r="H157" s="21"/>
      <c r="I157" s="82">
        <f>Equipamentos!K57</f>
        <v>2.3623055555555559</v>
      </c>
      <c r="J157" s="82"/>
      <c r="K157" s="480"/>
      <c r="L157" s="480"/>
      <c r="M157" s="480"/>
      <c r="N157" s="480"/>
      <c r="O157" s="480"/>
      <c r="P157" s="480"/>
    </row>
    <row r="158" spans="1:18" hidden="1" x14ac:dyDescent="0.2">
      <c r="A158" s="322" t="s">
        <v>44</v>
      </c>
      <c r="B158" s="480" t="s">
        <v>79</v>
      </c>
      <c r="C158" s="480"/>
      <c r="D158" s="480"/>
      <c r="E158" s="480"/>
      <c r="F158" s="480"/>
      <c r="G158" s="480"/>
      <c r="H158" s="21" t="s">
        <v>116</v>
      </c>
      <c r="I158" s="82">
        <v>0</v>
      </c>
      <c r="J158" s="322"/>
      <c r="K158" s="480"/>
      <c r="L158" s="480"/>
      <c r="M158" s="480"/>
      <c r="N158" s="480"/>
      <c r="O158" s="480"/>
      <c r="P158" s="480"/>
    </row>
    <row r="159" spans="1:18" hidden="1" x14ac:dyDescent="0.2">
      <c r="A159" s="475" t="s">
        <v>170</v>
      </c>
      <c r="B159" s="487"/>
      <c r="C159" s="487"/>
      <c r="D159" s="487"/>
      <c r="E159" s="487"/>
      <c r="F159" s="487"/>
      <c r="G159" s="487"/>
      <c r="H159" s="33" t="s">
        <v>116</v>
      </c>
      <c r="I159" s="320">
        <f>SUM(I155:I158)</f>
        <v>42.796472222222221</v>
      </c>
      <c r="J159" s="475"/>
      <c r="K159" s="487"/>
      <c r="L159" s="487"/>
      <c r="M159" s="487"/>
      <c r="N159" s="487"/>
      <c r="O159" s="487"/>
      <c r="P159" s="487"/>
    </row>
    <row r="160" spans="1:18" hidden="1" x14ac:dyDescent="0.2">
      <c r="A160" s="323"/>
      <c r="B160" s="43"/>
      <c r="C160" s="43"/>
      <c r="D160" s="43"/>
      <c r="E160" s="43"/>
      <c r="F160" s="43"/>
      <c r="G160" s="43"/>
      <c r="H160" s="43"/>
      <c r="I160" s="324"/>
      <c r="J160" s="323"/>
      <c r="K160" s="43"/>
      <c r="L160" s="43"/>
      <c r="M160" s="43"/>
      <c r="N160" s="43"/>
      <c r="O160" s="43"/>
      <c r="P160" s="43"/>
    </row>
    <row r="161" spans="1:17" hidden="1" x14ac:dyDescent="0.2">
      <c r="A161" s="300" t="s">
        <v>171</v>
      </c>
      <c r="B161" s="3"/>
      <c r="C161" s="3"/>
      <c r="D161" s="3"/>
      <c r="E161" s="3"/>
      <c r="F161" s="3"/>
      <c r="G161" s="3"/>
      <c r="H161" s="3"/>
      <c r="I161" s="321"/>
      <c r="J161" s="300"/>
      <c r="K161" s="3"/>
      <c r="L161" s="3"/>
      <c r="M161" s="3"/>
      <c r="N161" s="3"/>
      <c r="O161" s="3"/>
      <c r="P161" s="3"/>
    </row>
    <row r="162" spans="1:17" hidden="1" x14ac:dyDescent="0.2">
      <c r="A162" s="325"/>
      <c r="B162" s="3"/>
      <c r="C162" s="3"/>
      <c r="D162" s="3"/>
      <c r="E162" s="3"/>
      <c r="F162" s="3"/>
      <c r="G162" s="3"/>
      <c r="H162" s="3"/>
      <c r="I162" s="321"/>
      <c r="J162" s="325"/>
      <c r="K162" s="3"/>
      <c r="L162" s="3"/>
      <c r="M162" s="3"/>
      <c r="N162" s="3"/>
      <c r="O162" s="3"/>
      <c r="P162" s="3"/>
    </row>
    <row r="163" spans="1:17" hidden="1" x14ac:dyDescent="0.2">
      <c r="A163" s="469" t="s">
        <v>172</v>
      </c>
      <c r="B163" s="470"/>
      <c r="C163" s="470"/>
      <c r="D163" s="470"/>
      <c r="E163" s="470"/>
      <c r="F163" s="470"/>
      <c r="G163" s="470"/>
      <c r="H163" s="470"/>
      <c r="I163" s="471"/>
      <c r="J163" s="469"/>
      <c r="K163" s="470"/>
      <c r="L163" s="470"/>
      <c r="M163" s="470"/>
      <c r="N163" s="470"/>
      <c r="O163" s="470"/>
      <c r="P163" s="470"/>
    </row>
    <row r="164" spans="1:17" hidden="1" x14ac:dyDescent="0.2">
      <c r="A164" s="296">
        <v>6</v>
      </c>
      <c r="B164" s="465" t="s">
        <v>173</v>
      </c>
      <c r="C164" s="465"/>
      <c r="D164" s="465"/>
      <c r="E164" s="465"/>
      <c r="F164" s="465"/>
      <c r="G164" s="465"/>
      <c r="H164" s="8" t="s">
        <v>70</v>
      </c>
      <c r="I164" s="297" t="s">
        <v>71</v>
      </c>
      <c r="J164" s="296"/>
      <c r="K164" s="465"/>
      <c r="L164" s="465"/>
      <c r="M164" s="465"/>
      <c r="N164" s="465"/>
      <c r="O164" s="465"/>
      <c r="P164" s="465"/>
    </row>
    <row r="165" spans="1:17" hidden="1" x14ac:dyDescent="0.2">
      <c r="A165" s="296" t="s">
        <v>37</v>
      </c>
      <c r="B165" s="454" t="s">
        <v>174</v>
      </c>
      <c r="C165" s="454"/>
      <c r="D165" s="454"/>
      <c r="E165" s="454"/>
      <c r="F165" s="454"/>
      <c r="G165" s="454"/>
      <c r="H165" s="24">
        <v>0.05</v>
      </c>
      <c r="I165" s="326">
        <f>H165*I183</f>
        <v>170.61494866617778</v>
      </c>
      <c r="J165" s="296"/>
      <c r="K165" s="454"/>
      <c r="L165" s="454"/>
      <c r="M165" s="454"/>
      <c r="N165" s="454"/>
      <c r="O165" s="454"/>
      <c r="P165" s="454"/>
      <c r="Q165" s="25"/>
    </row>
    <row r="166" spans="1:17" hidden="1" x14ac:dyDescent="0.2">
      <c r="A166" s="296" t="s">
        <v>39</v>
      </c>
      <c r="B166" s="454" t="s">
        <v>175</v>
      </c>
      <c r="C166" s="454"/>
      <c r="D166" s="454"/>
      <c r="E166" s="454"/>
      <c r="F166" s="454"/>
      <c r="G166" s="454"/>
      <c r="H166" s="24">
        <v>0.1</v>
      </c>
      <c r="I166" s="326">
        <f>H166*(I165+I183)</f>
        <v>358.29139219897337</v>
      </c>
      <c r="J166" s="296"/>
      <c r="K166" s="454"/>
      <c r="L166" s="454"/>
      <c r="M166" s="454"/>
      <c r="N166" s="454"/>
      <c r="O166" s="454"/>
      <c r="P166" s="454"/>
      <c r="Q166" s="25"/>
    </row>
    <row r="167" spans="1:17" hidden="1" x14ac:dyDescent="0.2">
      <c r="A167" s="296" t="s">
        <v>41</v>
      </c>
      <c r="B167" s="505" t="s">
        <v>176</v>
      </c>
      <c r="C167" s="505"/>
      <c r="D167" s="505"/>
      <c r="E167" s="505"/>
      <c r="F167" s="505"/>
      <c r="G167" s="505"/>
      <c r="H167" s="2"/>
      <c r="I167" s="327"/>
      <c r="J167" s="296"/>
      <c r="K167" s="505"/>
      <c r="L167" s="505"/>
      <c r="M167" s="505"/>
      <c r="N167" s="505"/>
      <c r="O167" s="505"/>
      <c r="P167" s="505"/>
    </row>
    <row r="168" spans="1:17" hidden="1" x14ac:dyDescent="0.2">
      <c r="A168" s="296" t="s">
        <v>177</v>
      </c>
      <c r="B168" s="454" t="s">
        <v>178</v>
      </c>
      <c r="C168" s="454"/>
      <c r="D168" s="454"/>
      <c r="E168" s="454"/>
      <c r="F168" s="454"/>
      <c r="G168" s="454"/>
      <c r="H168" s="6">
        <v>1.6500000000000001E-2</v>
      </c>
      <c r="I168" s="326">
        <f>H168*$I$185</f>
        <v>75.836603713252089</v>
      </c>
      <c r="J168" s="296"/>
      <c r="K168" s="454"/>
      <c r="L168" s="454"/>
      <c r="M168" s="454"/>
      <c r="N168" s="454"/>
      <c r="O168" s="454"/>
      <c r="P168" s="454"/>
      <c r="Q168" s="25"/>
    </row>
    <row r="169" spans="1:17" hidden="1" x14ac:dyDescent="0.2">
      <c r="A169" s="296" t="s">
        <v>179</v>
      </c>
      <c r="B169" s="454" t="s">
        <v>180</v>
      </c>
      <c r="C169" s="454"/>
      <c r="D169" s="454"/>
      <c r="E169" s="454"/>
      <c r="F169" s="454"/>
      <c r="G169" s="454"/>
      <c r="H169" s="6">
        <v>7.5999999999999998E-2</v>
      </c>
      <c r="I169" s="326">
        <f t="shared" ref="I169:I170" si="3">H169*$I$185</f>
        <v>349.30799286103991</v>
      </c>
      <c r="J169" s="296"/>
      <c r="K169" s="454"/>
      <c r="L169" s="454"/>
      <c r="M169" s="454"/>
      <c r="N169" s="454"/>
      <c r="O169" s="454"/>
      <c r="P169" s="454"/>
      <c r="Q169" s="25"/>
    </row>
    <row r="170" spans="1:17" hidden="1" x14ac:dyDescent="0.2">
      <c r="A170" s="296" t="s">
        <v>181</v>
      </c>
      <c r="B170" s="454" t="s">
        <v>182</v>
      </c>
      <c r="C170" s="454"/>
      <c r="D170" s="454"/>
      <c r="E170" s="454"/>
      <c r="F170" s="454"/>
      <c r="G170" s="454"/>
      <c r="H170" s="6">
        <v>0.05</v>
      </c>
      <c r="I170" s="326">
        <f t="shared" si="3"/>
        <v>229.80789004015784</v>
      </c>
      <c r="J170" s="296"/>
      <c r="K170" s="454"/>
      <c r="L170" s="454"/>
      <c r="M170" s="454"/>
      <c r="N170" s="454"/>
      <c r="O170" s="454"/>
      <c r="P170" s="454"/>
      <c r="Q170" s="25"/>
    </row>
    <row r="171" spans="1:17" hidden="1" x14ac:dyDescent="0.2">
      <c r="A171" s="475" t="s">
        <v>183</v>
      </c>
      <c r="B171" s="487"/>
      <c r="C171" s="487"/>
      <c r="D171" s="487"/>
      <c r="E171" s="487"/>
      <c r="F171" s="487"/>
      <c r="G171" s="487"/>
      <c r="H171" s="44">
        <f>SUM(H165:H170)</f>
        <v>0.29250000000000004</v>
      </c>
      <c r="I171" s="320">
        <f>SUM(I165:I170)</f>
        <v>1183.8588274796009</v>
      </c>
      <c r="J171" s="475"/>
      <c r="K171" s="487"/>
      <c r="L171" s="487"/>
      <c r="M171" s="487"/>
      <c r="N171" s="487"/>
      <c r="O171" s="487"/>
      <c r="P171" s="487"/>
    </row>
    <row r="172" spans="1:17" hidden="1" x14ac:dyDescent="0.2">
      <c r="A172" s="287"/>
      <c r="B172" s="238"/>
      <c r="C172" s="238"/>
      <c r="D172" s="238"/>
      <c r="E172" s="238"/>
      <c r="F172" s="238"/>
      <c r="G172" s="238"/>
      <c r="H172" s="238"/>
      <c r="I172" s="328"/>
      <c r="J172" s="287"/>
      <c r="K172" s="238"/>
      <c r="L172" s="238"/>
      <c r="M172" s="238"/>
      <c r="N172" s="238"/>
      <c r="O172" s="238"/>
      <c r="P172" s="238"/>
    </row>
    <row r="173" spans="1:17" hidden="1" x14ac:dyDescent="0.2">
      <c r="A173" s="300" t="s">
        <v>184</v>
      </c>
      <c r="B173" s="238"/>
      <c r="C173" s="238"/>
      <c r="D173" s="238"/>
      <c r="E173" s="238"/>
      <c r="F173" s="238"/>
      <c r="G173" s="238"/>
      <c r="H173" s="238"/>
      <c r="I173" s="328"/>
      <c r="J173" s="300"/>
      <c r="K173" s="238"/>
      <c r="L173" s="238"/>
      <c r="M173" s="238"/>
      <c r="N173" s="238"/>
      <c r="O173" s="238"/>
      <c r="P173" s="238"/>
    </row>
    <row r="174" spans="1:17" hidden="1" x14ac:dyDescent="0.2">
      <c r="A174" s="300" t="s">
        <v>185</v>
      </c>
      <c r="B174" s="238"/>
      <c r="C174" s="238"/>
      <c r="D174" s="238"/>
      <c r="E174" s="238"/>
      <c r="F174" s="238"/>
      <c r="G174" s="238"/>
      <c r="H174" s="238"/>
      <c r="I174" s="328"/>
      <c r="J174" s="300"/>
      <c r="K174" s="238"/>
      <c r="L174" s="238"/>
      <c r="M174" s="238"/>
      <c r="N174" s="238"/>
      <c r="O174" s="238"/>
      <c r="P174" s="238"/>
    </row>
    <row r="175" spans="1:17" hidden="1" x14ac:dyDescent="0.2">
      <c r="A175" s="287"/>
      <c r="B175" s="233"/>
      <c r="C175" s="233"/>
      <c r="D175" s="233"/>
      <c r="E175" s="233"/>
      <c r="F175" s="233"/>
      <c r="G175" s="233"/>
      <c r="H175" s="233"/>
      <c r="I175" s="61"/>
      <c r="J175" s="287"/>
      <c r="K175" s="233"/>
      <c r="L175" s="233"/>
      <c r="M175" s="233"/>
      <c r="N175" s="233"/>
      <c r="O175" s="233"/>
      <c r="P175" s="233"/>
    </row>
    <row r="176" spans="1:17" hidden="1" x14ac:dyDescent="0.2">
      <c r="A176" s="456" t="s">
        <v>186</v>
      </c>
      <c r="B176" s="457"/>
      <c r="C176" s="457"/>
      <c r="D176" s="457"/>
      <c r="E176" s="457"/>
      <c r="F176" s="457"/>
      <c r="G176" s="457"/>
      <c r="H176" s="457"/>
      <c r="I176" s="458"/>
      <c r="J176" s="456"/>
      <c r="K176" s="457"/>
      <c r="L176" s="457"/>
      <c r="M176" s="457"/>
      <c r="N176" s="457"/>
      <c r="O176" s="457"/>
      <c r="P176" s="457"/>
    </row>
    <row r="177" spans="1:16" hidden="1" x14ac:dyDescent="0.2">
      <c r="A177" s="464" t="s">
        <v>187</v>
      </c>
      <c r="B177" s="465"/>
      <c r="C177" s="465"/>
      <c r="D177" s="465"/>
      <c r="E177" s="465"/>
      <c r="F177" s="465"/>
      <c r="G177" s="465"/>
      <c r="H177" s="465"/>
      <c r="I177" s="297" t="s">
        <v>71</v>
      </c>
      <c r="J177" s="464"/>
      <c r="K177" s="465"/>
      <c r="L177" s="465"/>
      <c r="M177" s="465"/>
      <c r="N177" s="465"/>
      <c r="O177" s="465"/>
      <c r="P177" s="465"/>
    </row>
    <row r="178" spans="1:16" hidden="1" x14ac:dyDescent="0.2">
      <c r="A178" s="292" t="s">
        <v>37</v>
      </c>
      <c r="B178" s="455" t="str">
        <f>A50</f>
        <v>MÓDULO 1 - COMPOSIÇÃO DA REMUNERAÇÃO</v>
      </c>
      <c r="C178" s="455"/>
      <c r="D178" s="455"/>
      <c r="E178" s="455"/>
      <c r="F178" s="455"/>
      <c r="G178" s="455"/>
      <c r="H178" s="455"/>
      <c r="I178" s="326">
        <f>I58</f>
        <v>1536.73</v>
      </c>
      <c r="J178" s="292"/>
      <c r="K178" s="455"/>
      <c r="L178" s="455"/>
      <c r="M178" s="455"/>
      <c r="N178" s="455"/>
      <c r="O178" s="455"/>
      <c r="P178" s="455"/>
    </row>
    <row r="179" spans="1:16" hidden="1" x14ac:dyDescent="0.2">
      <c r="A179" s="292" t="s">
        <v>39</v>
      </c>
      <c r="B179" s="455" t="str">
        <f>A63</f>
        <v>MÓDULO 2 – ENCARGOS E BENEFÍCIOS ANUAIS, MENSAIS E DIÁRIOS</v>
      </c>
      <c r="C179" s="455"/>
      <c r="D179" s="455"/>
      <c r="E179" s="455"/>
      <c r="F179" s="455"/>
      <c r="G179" s="455"/>
      <c r="H179" s="455"/>
      <c r="I179" s="326">
        <f>I115</f>
        <v>1680.4530528853334</v>
      </c>
      <c r="J179" s="292"/>
      <c r="K179" s="455"/>
      <c r="L179" s="455"/>
      <c r="M179" s="455"/>
      <c r="N179" s="455"/>
      <c r="O179" s="455"/>
      <c r="P179" s="455"/>
    </row>
    <row r="180" spans="1:16" hidden="1" x14ac:dyDescent="0.2">
      <c r="A180" s="292" t="s">
        <v>41</v>
      </c>
      <c r="B180" s="455" t="str">
        <f>A117</f>
        <v>MÓDULO 3 – PROVISÃO PARA RESCISÃO</v>
      </c>
      <c r="C180" s="455"/>
      <c r="D180" s="455"/>
      <c r="E180" s="455"/>
      <c r="F180" s="455"/>
      <c r="G180" s="455"/>
      <c r="H180" s="455"/>
      <c r="I180" s="326">
        <f>I125</f>
        <v>109.223392096</v>
      </c>
      <c r="J180" s="292"/>
      <c r="K180" s="455"/>
      <c r="L180" s="455"/>
      <c r="M180" s="455"/>
      <c r="N180" s="455"/>
      <c r="O180" s="455"/>
      <c r="P180" s="455"/>
    </row>
    <row r="181" spans="1:16" hidden="1" x14ac:dyDescent="0.2">
      <c r="A181" s="329" t="s">
        <v>44</v>
      </c>
      <c r="B181" s="455" t="str">
        <f>A127</f>
        <v>MÓDULO 4 – CUSTO DE REPOSIÇÃO DO PROFISSIONAL AUSENTE</v>
      </c>
      <c r="C181" s="455"/>
      <c r="D181" s="455"/>
      <c r="E181" s="455"/>
      <c r="F181" s="455"/>
      <c r="G181" s="455"/>
      <c r="H181" s="455"/>
      <c r="I181" s="326">
        <f>I151</f>
        <v>43.09605612</v>
      </c>
      <c r="J181" s="329"/>
      <c r="K181" s="455"/>
      <c r="L181" s="455"/>
      <c r="M181" s="455"/>
      <c r="N181" s="455"/>
      <c r="O181" s="455"/>
      <c r="P181" s="455"/>
    </row>
    <row r="182" spans="1:16" hidden="1" x14ac:dyDescent="0.2">
      <c r="A182" s="329" t="s">
        <v>76</v>
      </c>
      <c r="B182" s="455" t="str">
        <f>A153</f>
        <v>MÓDULO 5 – INSUMOS DIVERSOS</v>
      </c>
      <c r="C182" s="455"/>
      <c r="D182" s="455"/>
      <c r="E182" s="455"/>
      <c r="F182" s="455"/>
      <c r="G182" s="455"/>
      <c r="H182" s="455"/>
      <c r="I182" s="326">
        <f>I159</f>
        <v>42.796472222222221</v>
      </c>
      <c r="J182" s="329"/>
      <c r="K182" s="455"/>
      <c r="L182" s="455"/>
      <c r="M182" s="455"/>
      <c r="N182" s="455"/>
      <c r="O182" s="455"/>
      <c r="P182" s="455"/>
    </row>
    <row r="183" spans="1:16" hidden="1" x14ac:dyDescent="0.2">
      <c r="A183" s="296"/>
      <c r="B183" s="465" t="s">
        <v>188</v>
      </c>
      <c r="C183" s="465"/>
      <c r="D183" s="465"/>
      <c r="E183" s="465"/>
      <c r="F183" s="465"/>
      <c r="G183" s="465"/>
      <c r="H183" s="465"/>
      <c r="I183" s="330">
        <f>SUM(I178:I182)</f>
        <v>3412.2989733235554</v>
      </c>
      <c r="J183" s="296"/>
      <c r="K183" s="465"/>
      <c r="L183" s="465"/>
      <c r="M183" s="465"/>
      <c r="N183" s="465"/>
      <c r="O183" s="465"/>
      <c r="P183" s="465"/>
    </row>
    <row r="184" spans="1:16" hidden="1" x14ac:dyDescent="0.2">
      <c r="A184" s="329" t="s">
        <v>78</v>
      </c>
      <c r="B184" s="455" t="str">
        <f>A163</f>
        <v>MÓDULO 6 – CUSTOS INDIRETOS, TRIBUTOS E LUCRO</v>
      </c>
      <c r="C184" s="455"/>
      <c r="D184" s="455"/>
      <c r="E184" s="455"/>
      <c r="F184" s="455"/>
      <c r="G184" s="455"/>
      <c r="H184" s="455"/>
      <c r="I184" s="82">
        <f>I171</f>
        <v>1183.8588274796009</v>
      </c>
      <c r="J184" s="329"/>
      <c r="K184" s="455"/>
      <c r="L184" s="455"/>
      <c r="M184" s="455"/>
      <c r="N184" s="455"/>
      <c r="O184" s="455"/>
      <c r="P184" s="455"/>
    </row>
    <row r="185" spans="1:16" ht="13.5" hidden="1" thickBot="1" x14ac:dyDescent="0.25">
      <c r="A185" s="506" t="s">
        <v>189</v>
      </c>
      <c r="B185" s="507"/>
      <c r="C185" s="507"/>
      <c r="D185" s="507"/>
      <c r="E185" s="507"/>
      <c r="F185" s="507"/>
      <c r="G185" s="507"/>
      <c r="H185" s="507"/>
      <c r="I185" s="331">
        <f>SUM(I58,I115,I125,I151,I159,I165,I166)/(1-SUM(H168:H170))</f>
        <v>4596.1578008031565</v>
      </c>
      <c r="J185" s="506"/>
      <c r="K185" s="507"/>
      <c r="L185" s="507"/>
      <c r="M185" s="507"/>
      <c r="N185" s="507"/>
      <c r="O185" s="507"/>
      <c r="P185" s="507"/>
    </row>
    <row r="186" spans="1:16" ht="13.5" thickBot="1" x14ac:dyDescent="0.25">
      <c r="A186" s="3"/>
      <c r="B186" s="3"/>
      <c r="C186" s="3"/>
      <c r="D186" s="3"/>
      <c r="E186" s="3"/>
      <c r="F186" s="3"/>
      <c r="G186" s="3"/>
      <c r="H186" s="3"/>
      <c r="I186" s="4"/>
      <c r="J186" s="57"/>
    </row>
    <row r="187" spans="1:16" s="284" customFormat="1" ht="17.45" customHeight="1" thickBot="1" x14ac:dyDescent="0.25">
      <c r="A187" s="508" t="s">
        <v>190</v>
      </c>
      <c r="B187" s="509"/>
      <c r="C187" s="509"/>
      <c r="D187" s="509"/>
      <c r="E187" s="509"/>
      <c r="F187" s="509"/>
      <c r="G187" s="509"/>
      <c r="H187" s="341">
        <f>I29</f>
        <v>1</v>
      </c>
      <c r="I187" s="332">
        <v>4581.34</v>
      </c>
      <c r="J187" s="285"/>
      <c r="K187" s="285"/>
      <c r="L187" s="285"/>
      <c r="M187" s="285"/>
      <c r="N187" s="285"/>
      <c r="O187" s="510"/>
      <c r="P187" s="511"/>
    </row>
    <row r="188" spans="1:16" s="284" customFormat="1" ht="24.95" customHeight="1" thickBot="1" x14ac:dyDescent="0.25">
      <c r="A188" s="522">
        <f>(I187)</f>
        <v>4581.34</v>
      </c>
      <c r="B188" s="523"/>
      <c r="C188" s="523"/>
      <c r="D188" s="523"/>
      <c r="E188" s="523"/>
      <c r="F188" s="523"/>
      <c r="G188" s="523"/>
      <c r="H188" s="524" t="str">
        <f>I44</f>
        <v>Desinsetizador</v>
      </c>
      <c r="I188" s="525"/>
      <c r="J188" s="283"/>
      <c r="K188" s="283"/>
      <c r="L188" s="283"/>
      <c r="M188" s="283"/>
      <c r="N188" s="283"/>
      <c r="O188" s="283"/>
      <c r="P188" s="283"/>
    </row>
    <row r="189" spans="1:16" x14ac:dyDescent="0.2">
      <c r="A189" s="312"/>
      <c r="B189" s="3"/>
      <c r="C189" s="3"/>
      <c r="D189" s="3"/>
      <c r="E189" s="3"/>
      <c r="F189" s="3"/>
      <c r="G189" s="3"/>
      <c r="H189" s="3"/>
      <c r="I189" s="61"/>
    </row>
    <row r="190" spans="1:16" x14ac:dyDescent="0.2">
      <c r="A190" s="312"/>
      <c r="B190" s="3"/>
      <c r="C190" s="3"/>
      <c r="D190" s="3"/>
      <c r="E190" s="3"/>
      <c r="F190" s="3"/>
      <c r="G190" s="3"/>
      <c r="H190" s="3"/>
      <c r="I190" s="61"/>
    </row>
    <row r="191" spans="1:16" x14ac:dyDescent="0.2">
      <c r="A191" s="538" t="s">
        <v>223</v>
      </c>
      <c r="B191" s="539"/>
      <c r="C191" s="539"/>
      <c r="D191" s="539"/>
      <c r="E191" s="539"/>
      <c r="F191" s="539"/>
      <c r="G191" s="539"/>
      <c r="H191" s="539"/>
      <c r="I191" s="540"/>
    </row>
    <row r="192" spans="1:16" s="32" customFormat="1" ht="12.6" customHeight="1" x14ac:dyDescent="0.2">
      <c r="A192" s="541"/>
      <c r="B192" s="542"/>
      <c r="C192" s="542"/>
      <c r="D192" s="542"/>
      <c r="E192" s="542"/>
      <c r="F192" s="542"/>
      <c r="G192" s="542"/>
      <c r="H192" s="542"/>
      <c r="I192" s="543"/>
      <c r="J192"/>
      <c r="K192"/>
    </row>
    <row r="193" spans="1:18" ht="38.25" x14ac:dyDescent="0.2">
      <c r="A193" s="544" t="s">
        <v>193</v>
      </c>
      <c r="B193" s="496"/>
      <c r="C193" s="497"/>
      <c r="D193" s="545" t="s">
        <v>224</v>
      </c>
      <c r="E193" s="545"/>
      <c r="F193" s="546"/>
      <c r="G193" s="545" t="s">
        <v>204</v>
      </c>
      <c r="H193" s="546"/>
      <c r="I193" s="436" t="s">
        <v>198</v>
      </c>
    </row>
    <row r="194" spans="1:18" s="32" customFormat="1" ht="22.5" customHeight="1" x14ac:dyDescent="0.2">
      <c r="A194" s="547" t="s">
        <v>225</v>
      </c>
      <c r="B194" s="548"/>
      <c r="C194" s="549"/>
      <c r="D194" s="550">
        <v>800</v>
      </c>
      <c r="E194" s="550"/>
      <c r="F194" s="551"/>
      <c r="G194" s="552">
        <f>A188</f>
        <v>4581.34</v>
      </c>
      <c r="H194" s="549"/>
      <c r="I194" s="434">
        <f>TRUNC((1/D194*G194)/22,2)</f>
        <v>0.26</v>
      </c>
      <c r="K194" s="369" t="s">
        <v>226</v>
      </c>
      <c r="R194" s="369" t="s">
        <v>221</v>
      </c>
    </row>
    <row r="195" spans="1:18" ht="13.5" thickBot="1" x14ac:dyDescent="0.25">
      <c r="A195" s="553" t="s">
        <v>200</v>
      </c>
      <c r="B195" s="554"/>
      <c r="C195" s="554"/>
      <c r="D195" s="554"/>
      <c r="E195" s="554"/>
      <c r="F195" s="554"/>
      <c r="G195" s="554"/>
      <c r="H195" s="555"/>
      <c r="I195" s="435">
        <f>I194</f>
        <v>0.26</v>
      </c>
    </row>
  </sheetData>
  <mergeCells count="251">
    <mergeCell ref="A1:I1"/>
    <mergeCell ref="A2:C2"/>
    <mergeCell ref="H3:H4"/>
    <mergeCell ref="A4:C4"/>
    <mergeCell ref="B169:G169"/>
    <mergeCell ref="B158:G158"/>
    <mergeCell ref="B156:G156"/>
    <mergeCell ref="B155:G155"/>
    <mergeCell ref="B166:G166"/>
    <mergeCell ref="B167:G167"/>
    <mergeCell ref="A147:I147"/>
    <mergeCell ref="B148:G148"/>
    <mergeCell ref="B149:G149"/>
    <mergeCell ref="B150:G150"/>
    <mergeCell ref="A125:G125"/>
    <mergeCell ref="B132:G132"/>
    <mergeCell ref="B134:G134"/>
    <mergeCell ref="B135:G135"/>
    <mergeCell ref="B143:G143"/>
    <mergeCell ref="B138:G138"/>
    <mergeCell ref="B137:G137"/>
    <mergeCell ref="A139:G139"/>
    <mergeCell ref="B133:G133"/>
    <mergeCell ref="B144:G144"/>
    <mergeCell ref="A176:I176"/>
    <mergeCell ref="B181:H181"/>
    <mergeCell ref="A151:H151"/>
    <mergeCell ref="A159:G159"/>
    <mergeCell ref="A163:I163"/>
    <mergeCell ref="B154:G154"/>
    <mergeCell ref="B157:G157"/>
    <mergeCell ref="A171:G171"/>
    <mergeCell ref="B168:G168"/>
    <mergeCell ref="B178:H178"/>
    <mergeCell ref="B170:G170"/>
    <mergeCell ref="A177:H177"/>
    <mergeCell ref="B179:H179"/>
    <mergeCell ref="B180:H180"/>
    <mergeCell ref="B164:G164"/>
    <mergeCell ref="B165:G165"/>
    <mergeCell ref="A152:I152"/>
    <mergeCell ref="A153:I153"/>
    <mergeCell ref="B140:G140"/>
    <mergeCell ref="A141:G141"/>
    <mergeCell ref="A145:G145"/>
    <mergeCell ref="B136:G136"/>
    <mergeCell ref="A127:I127"/>
    <mergeCell ref="B97:G97"/>
    <mergeCell ref="B98:G98"/>
    <mergeCell ref="A14:I14"/>
    <mergeCell ref="A40:I40"/>
    <mergeCell ref="A21:I21"/>
    <mergeCell ref="A29:B29"/>
    <mergeCell ref="A28:B28"/>
    <mergeCell ref="C28:D28"/>
    <mergeCell ref="E28:I28"/>
    <mergeCell ref="A27:I27"/>
    <mergeCell ref="C29:D29"/>
    <mergeCell ref="B22:H22"/>
    <mergeCell ref="B23:H23"/>
    <mergeCell ref="B24:H24"/>
    <mergeCell ref="B25:H25"/>
    <mergeCell ref="A16:F16"/>
    <mergeCell ref="A17:F17"/>
    <mergeCell ref="A19:F19"/>
    <mergeCell ref="E29:H29"/>
    <mergeCell ref="B87:G87"/>
    <mergeCell ref="B82:G82"/>
    <mergeCell ref="B41:H41"/>
    <mergeCell ref="B42:H42"/>
    <mergeCell ref="B43:H43"/>
    <mergeCell ref="A111:H111"/>
    <mergeCell ref="B112:H112"/>
    <mergeCell ref="B113:H113"/>
    <mergeCell ref="B99:G99"/>
    <mergeCell ref="A50:I50"/>
    <mergeCell ref="B51:G51"/>
    <mergeCell ref="B52:G52"/>
    <mergeCell ref="B56:G56"/>
    <mergeCell ref="B55:G55"/>
    <mergeCell ref="B66:G66"/>
    <mergeCell ref="A67:G67"/>
    <mergeCell ref="B123:G123"/>
    <mergeCell ref="B124:G124"/>
    <mergeCell ref="A126:I126"/>
    <mergeCell ref="A116:I116"/>
    <mergeCell ref="A117:I117"/>
    <mergeCell ref="B118:G118"/>
    <mergeCell ref="B119:G119"/>
    <mergeCell ref="B120:G120"/>
    <mergeCell ref="B121:G121"/>
    <mergeCell ref="B122:G122"/>
    <mergeCell ref="B114:H114"/>
    <mergeCell ref="A115:H115"/>
    <mergeCell ref="B102:G102"/>
    <mergeCell ref="B100:G100"/>
    <mergeCell ref="B101:G101"/>
    <mergeCell ref="A103:H103"/>
    <mergeCell ref="B44:H44"/>
    <mergeCell ref="B45:H45"/>
    <mergeCell ref="B53:G53"/>
    <mergeCell ref="B54:G54"/>
    <mergeCell ref="A88:G88"/>
    <mergeCell ref="B81:G81"/>
    <mergeCell ref="B64:G64"/>
    <mergeCell ref="B79:G79"/>
    <mergeCell ref="B68:G68"/>
    <mergeCell ref="A69:G69"/>
    <mergeCell ref="B57:G57"/>
    <mergeCell ref="A58:H58"/>
    <mergeCell ref="A63:I63"/>
    <mergeCell ref="B85:G85"/>
    <mergeCell ref="B65:G65"/>
    <mergeCell ref="B96:G96"/>
    <mergeCell ref="B84:G84"/>
    <mergeCell ref="B86:G86"/>
    <mergeCell ref="J27:P27"/>
    <mergeCell ref="J28:K28"/>
    <mergeCell ref="L28:M28"/>
    <mergeCell ref="N28:P28"/>
    <mergeCell ref="J29:K29"/>
    <mergeCell ref="L29:M29"/>
    <mergeCell ref="J40:P40"/>
    <mergeCell ref="B80:G80"/>
    <mergeCell ref="B83:G83"/>
    <mergeCell ref="K41:P41"/>
    <mergeCell ref="K42:P42"/>
    <mergeCell ref="K43:P43"/>
    <mergeCell ref="K44:P44"/>
    <mergeCell ref="K45:P45"/>
    <mergeCell ref="J50:P50"/>
    <mergeCell ref="K51:P51"/>
    <mergeCell ref="K52:P52"/>
    <mergeCell ref="K53:P53"/>
    <mergeCell ref="K54:P54"/>
    <mergeCell ref="K55:P55"/>
    <mergeCell ref="K56:P56"/>
    <mergeCell ref="K57:P57"/>
    <mergeCell ref="J58:P58"/>
    <mergeCell ref="J63:P63"/>
    <mergeCell ref="J14:P14"/>
    <mergeCell ref="J16:O16"/>
    <mergeCell ref="J17:O17"/>
    <mergeCell ref="J19:O19"/>
    <mergeCell ref="J21:P21"/>
    <mergeCell ref="K22:P22"/>
    <mergeCell ref="K23:P23"/>
    <mergeCell ref="K24:P24"/>
    <mergeCell ref="K25:P25"/>
    <mergeCell ref="K64:P64"/>
    <mergeCell ref="K65:P65"/>
    <mergeCell ref="K66:P66"/>
    <mergeCell ref="J67:P67"/>
    <mergeCell ref="K68:P68"/>
    <mergeCell ref="J69:P69"/>
    <mergeCell ref="K79:P79"/>
    <mergeCell ref="K80:P80"/>
    <mergeCell ref="K81:P81"/>
    <mergeCell ref="K82:P82"/>
    <mergeCell ref="K83:P83"/>
    <mergeCell ref="K84:P84"/>
    <mergeCell ref="K85:P85"/>
    <mergeCell ref="K86:P86"/>
    <mergeCell ref="K87:P87"/>
    <mergeCell ref="J88:P88"/>
    <mergeCell ref="K96:P96"/>
    <mergeCell ref="K97:P97"/>
    <mergeCell ref="K98:P98"/>
    <mergeCell ref="K99:P99"/>
    <mergeCell ref="K100:P100"/>
    <mergeCell ref="K101:P101"/>
    <mergeCell ref="K102:P102"/>
    <mergeCell ref="J103:P103"/>
    <mergeCell ref="J111:P111"/>
    <mergeCell ref="K112:P112"/>
    <mergeCell ref="K113:P113"/>
    <mergeCell ref="K114:P114"/>
    <mergeCell ref="J115:P115"/>
    <mergeCell ref="J116:P116"/>
    <mergeCell ref="J117:P117"/>
    <mergeCell ref="K118:P118"/>
    <mergeCell ref="K119:P119"/>
    <mergeCell ref="K120:P120"/>
    <mergeCell ref="K121:P121"/>
    <mergeCell ref="K122:P122"/>
    <mergeCell ref="K123:P123"/>
    <mergeCell ref="K124:P124"/>
    <mergeCell ref="J125:P125"/>
    <mergeCell ref="J126:P126"/>
    <mergeCell ref="J127:P127"/>
    <mergeCell ref="K132:P132"/>
    <mergeCell ref="K133:P133"/>
    <mergeCell ref="K134:P134"/>
    <mergeCell ref="K135:P135"/>
    <mergeCell ref="K136:P136"/>
    <mergeCell ref="K137:P137"/>
    <mergeCell ref="K138:P138"/>
    <mergeCell ref="J139:P139"/>
    <mergeCell ref="K140:P140"/>
    <mergeCell ref="J141:P141"/>
    <mergeCell ref="K143:P143"/>
    <mergeCell ref="K144:P144"/>
    <mergeCell ref="J145:P145"/>
    <mergeCell ref="J147:P147"/>
    <mergeCell ref="K148:P148"/>
    <mergeCell ref="K149:P149"/>
    <mergeCell ref="K150:P150"/>
    <mergeCell ref="J151:P151"/>
    <mergeCell ref="J152:P152"/>
    <mergeCell ref="J153:P153"/>
    <mergeCell ref="K154:P154"/>
    <mergeCell ref="K155:P155"/>
    <mergeCell ref="K156:P156"/>
    <mergeCell ref="K157:P157"/>
    <mergeCell ref="K158:P158"/>
    <mergeCell ref="J159:P159"/>
    <mergeCell ref="J163:P163"/>
    <mergeCell ref="K164:P164"/>
    <mergeCell ref="K165:P165"/>
    <mergeCell ref="K166:P166"/>
    <mergeCell ref="K167:P167"/>
    <mergeCell ref="K168:P168"/>
    <mergeCell ref="K169:P169"/>
    <mergeCell ref="K170:P170"/>
    <mergeCell ref="J171:P171"/>
    <mergeCell ref="J176:P176"/>
    <mergeCell ref="J177:P177"/>
    <mergeCell ref="K178:P178"/>
    <mergeCell ref="K179:P179"/>
    <mergeCell ref="K180:P180"/>
    <mergeCell ref="K181:P181"/>
    <mergeCell ref="K182:P182"/>
    <mergeCell ref="K183:P183"/>
    <mergeCell ref="A187:G187"/>
    <mergeCell ref="A188:G188"/>
    <mergeCell ref="K184:P184"/>
    <mergeCell ref="J185:P185"/>
    <mergeCell ref="O187:P187"/>
    <mergeCell ref="B182:H182"/>
    <mergeCell ref="B183:H183"/>
    <mergeCell ref="B184:H184"/>
    <mergeCell ref="A185:H185"/>
    <mergeCell ref="A191:I192"/>
    <mergeCell ref="A193:C193"/>
    <mergeCell ref="D193:F193"/>
    <mergeCell ref="G193:H193"/>
    <mergeCell ref="A194:C194"/>
    <mergeCell ref="D194:F194"/>
    <mergeCell ref="G194:H194"/>
    <mergeCell ref="A195:H195"/>
    <mergeCell ref="H188:I188"/>
  </mergeCells>
  <phoneticPr fontId="3" type="noConversion"/>
  <pageMargins left="0.39370078740157483" right="0.19685039370078741" top="0.59055118110236227" bottom="0.39370078740157483" header="0.15748031496062992" footer="0.15748031496062992"/>
  <pageSetup paperSize="9" scale="70" firstPageNumber="0"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6E1CB-913E-46DC-B825-0446AC1C78A5}">
  <sheetPr>
    <tabColor rgb="FF00B0F0"/>
  </sheetPr>
  <dimension ref="A1:Q220"/>
  <sheetViews>
    <sheetView zoomScaleNormal="100" workbookViewId="0">
      <selection sqref="A1:I1"/>
    </sheetView>
  </sheetViews>
  <sheetFormatPr defaultRowHeight="12.75" outlineLevelRow="1" x14ac:dyDescent="0.2"/>
  <cols>
    <col min="1" max="1" width="7.7109375" customWidth="1"/>
    <col min="2" max="2" width="15.28515625" customWidth="1"/>
    <col min="3" max="3" width="13.7109375" bestFit="1" customWidth="1"/>
    <col min="4" max="4" width="20.5703125" customWidth="1"/>
    <col min="5" max="5" width="17.7109375" customWidth="1"/>
    <col min="6" max="6" width="12.85546875" customWidth="1"/>
    <col min="7" max="7" width="12.140625" customWidth="1"/>
    <col min="8" max="8" width="17.42578125" customWidth="1"/>
    <col min="9" max="9" width="21.85546875" customWidth="1"/>
    <col min="10" max="10" width="17.28515625" hidden="1" customWidth="1"/>
    <col min="11" max="16" width="0" hidden="1" customWidth="1"/>
    <col min="18" max="18" width="15.42578125" bestFit="1" customWidth="1"/>
  </cols>
  <sheetData>
    <row r="1" spans="1:16" ht="13.5" thickBot="1" x14ac:dyDescent="0.25">
      <c r="A1" s="448" t="s">
        <v>32</v>
      </c>
      <c r="B1" s="449"/>
      <c r="C1" s="449"/>
      <c r="D1" s="449"/>
      <c r="E1" s="449"/>
      <c r="F1" s="449"/>
      <c r="G1" s="449"/>
      <c r="H1" s="449"/>
      <c r="I1" s="450"/>
      <c r="J1" s="448"/>
      <c r="K1" s="449"/>
      <c r="L1" s="449"/>
      <c r="M1" s="449"/>
      <c r="N1" s="449"/>
      <c r="O1" s="449"/>
      <c r="P1" s="449"/>
    </row>
    <row r="2" spans="1:16" x14ac:dyDescent="0.2">
      <c r="A2" s="287"/>
      <c r="B2" s="233"/>
      <c r="C2" s="233"/>
      <c r="D2" s="233"/>
      <c r="E2" s="233"/>
      <c r="F2" s="233"/>
      <c r="G2" s="233"/>
      <c r="H2" s="233"/>
      <c r="I2" s="288"/>
      <c r="J2" s="287"/>
      <c r="K2" s="233"/>
      <c r="L2" s="233"/>
      <c r="M2" s="233"/>
      <c r="N2" s="233"/>
      <c r="O2" s="233"/>
      <c r="P2" s="233"/>
    </row>
    <row r="3" spans="1:16" ht="15" customHeight="1" x14ac:dyDescent="0.2">
      <c r="A3" s="567" t="s">
        <v>227</v>
      </c>
      <c r="B3" s="452"/>
      <c r="C3" s="452"/>
      <c r="D3" s="452"/>
      <c r="E3" s="452"/>
      <c r="F3" s="452"/>
      <c r="G3" s="233"/>
      <c r="H3" s="233"/>
      <c r="I3" s="288"/>
      <c r="J3" s="453"/>
      <c r="K3" s="452"/>
      <c r="L3" s="452"/>
      <c r="M3" s="452"/>
      <c r="N3" s="452"/>
      <c r="O3" s="452"/>
      <c r="P3" s="233"/>
    </row>
    <row r="4" spans="1:16" ht="15" customHeight="1" x14ac:dyDescent="0.2">
      <c r="A4" s="453" t="s">
        <v>34</v>
      </c>
      <c r="B4" s="452"/>
      <c r="C4" s="452"/>
      <c r="D4" s="452"/>
      <c r="E4" s="452"/>
      <c r="F4" s="452"/>
      <c r="G4" s="233"/>
      <c r="H4" s="233"/>
      <c r="I4" s="288"/>
      <c r="J4" s="453"/>
      <c r="K4" s="452"/>
      <c r="L4" s="452"/>
      <c r="M4" s="452"/>
      <c r="N4" s="452"/>
      <c r="O4" s="452"/>
      <c r="P4" s="233"/>
    </row>
    <row r="5" spans="1:16" x14ac:dyDescent="0.2">
      <c r="A5" s="59"/>
      <c r="B5" s="9"/>
      <c r="C5" s="9"/>
      <c r="D5" s="9"/>
      <c r="E5" s="9"/>
      <c r="F5" s="9"/>
      <c r="G5" s="9"/>
      <c r="H5" s="9"/>
      <c r="I5" s="97"/>
      <c r="J5" s="59"/>
      <c r="K5" s="9"/>
      <c r="L5" s="9"/>
      <c r="M5" s="9"/>
      <c r="N5" s="9"/>
      <c r="O5" s="9"/>
      <c r="P5" s="9"/>
    </row>
    <row r="6" spans="1:16" x14ac:dyDescent="0.2">
      <c r="A6" s="453" t="s">
        <v>35</v>
      </c>
      <c r="B6" s="452"/>
      <c r="C6" s="452"/>
      <c r="D6" s="452"/>
      <c r="E6" s="452"/>
      <c r="F6" s="452"/>
      <c r="G6" s="9"/>
      <c r="H6" s="9"/>
      <c r="I6" s="97"/>
      <c r="J6" s="453"/>
      <c r="K6" s="452"/>
      <c r="L6" s="452"/>
      <c r="M6" s="452"/>
      <c r="N6" s="452"/>
      <c r="O6" s="452"/>
      <c r="P6" s="9"/>
    </row>
    <row r="7" spans="1:16" x14ac:dyDescent="0.2">
      <c r="A7" s="289"/>
      <c r="B7" s="234"/>
      <c r="C7" s="234"/>
      <c r="D7" s="234"/>
      <c r="E7" s="234"/>
      <c r="F7" s="234"/>
      <c r="G7" s="234"/>
      <c r="H7" s="234"/>
      <c r="I7" s="290"/>
      <c r="J7" s="289"/>
      <c r="K7" s="234"/>
      <c r="L7" s="234"/>
      <c r="M7" s="234"/>
      <c r="N7" s="234"/>
      <c r="O7" s="234"/>
      <c r="P7" s="234"/>
    </row>
    <row r="8" spans="1:16" x14ac:dyDescent="0.2">
      <c r="A8" s="456" t="s">
        <v>36</v>
      </c>
      <c r="B8" s="457"/>
      <c r="C8" s="457"/>
      <c r="D8" s="457"/>
      <c r="E8" s="457"/>
      <c r="F8" s="457"/>
      <c r="G8" s="457"/>
      <c r="H8" s="457"/>
      <c r="I8" s="458"/>
      <c r="J8" s="456"/>
      <c r="K8" s="457"/>
      <c r="L8" s="457"/>
      <c r="M8" s="457"/>
      <c r="N8" s="457"/>
      <c r="O8" s="457"/>
      <c r="P8" s="457"/>
    </row>
    <row r="9" spans="1:16" x14ac:dyDescent="0.2">
      <c r="A9" s="292" t="s">
        <v>37</v>
      </c>
      <c r="B9" s="454" t="s">
        <v>38</v>
      </c>
      <c r="C9" s="455"/>
      <c r="D9" s="455"/>
      <c r="E9" s="455"/>
      <c r="F9" s="455"/>
      <c r="G9" s="455"/>
      <c r="H9" s="455"/>
      <c r="I9" s="293"/>
      <c r="J9" s="292"/>
      <c r="K9" s="454"/>
      <c r="L9" s="455"/>
      <c r="M9" s="455"/>
      <c r="N9" s="455"/>
      <c r="O9" s="455"/>
      <c r="P9" s="455"/>
    </row>
    <row r="10" spans="1:16" x14ac:dyDescent="0.2">
      <c r="A10" s="292" t="s">
        <v>39</v>
      </c>
      <c r="B10" s="454" t="s">
        <v>40</v>
      </c>
      <c r="C10" s="455"/>
      <c r="D10" s="455"/>
      <c r="E10" s="455"/>
      <c r="F10" s="455"/>
      <c r="G10" s="455"/>
      <c r="H10" s="455"/>
      <c r="I10" s="294" t="str">
        <f>'Limpeza - Item 5'!I10</f>
        <v>Campina Grande/PB</v>
      </c>
      <c r="J10" s="292"/>
      <c r="K10" s="454"/>
      <c r="L10" s="455"/>
      <c r="M10" s="455"/>
      <c r="N10" s="455"/>
      <c r="O10" s="455"/>
      <c r="P10" s="455"/>
    </row>
    <row r="11" spans="1:16" x14ac:dyDescent="0.2">
      <c r="A11" s="292" t="s">
        <v>41</v>
      </c>
      <c r="B11" s="454" t="s">
        <v>42</v>
      </c>
      <c r="C11" s="454"/>
      <c r="D11" s="454"/>
      <c r="E11" s="454"/>
      <c r="F11" s="454"/>
      <c r="G11" s="454"/>
      <c r="H11" s="454"/>
      <c r="I11" s="294" t="str">
        <f>'Limpeza - Item 5'!I11</f>
        <v xml:space="preserve"> PB000092/2025</v>
      </c>
      <c r="J11" s="292"/>
      <c r="K11" s="454"/>
      <c r="L11" s="454"/>
      <c r="M11" s="454"/>
      <c r="N11" s="454"/>
      <c r="O11" s="454"/>
      <c r="P11" s="454"/>
    </row>
    <row r="12" spans="1:16" x14ac:dyDescent="0.2">
      <c r="A12" s="292" t="s">
        <v>44</v>
      </c>
      <c r="B12" s="454" t="s">
        <v>45</v>
      </c>
      <c r="C12" s="455"/>
      <c r="D12" s="455"/>
      <c r="E12" s="455"/>
      <c r="F12" s="455"/>
      <c r="G12" s="455"/>
      <c r="H12" s="455"/>
      <c r="I12" s="295">
        <v>60</v>
      </c>
      <c r="J12" s="292"/>
      <c r="K12" s="454"/>
      <c r="L12" s="455"/>
      <c r="M12" s="455"/>
      <c r="N12" s="455"/>
      <c r="O12" s="455"/>
      <c r="P12" s="455"/>
    </row>
    <row r="13" spans="1:16" x14ac:dyDescent="0.2">
      <c r="A13" s="287"/>
      <c r="B13" s="234"/>
      <c r="C13" s="234"/>
      <c r="D13" s="234"/>
      <c r="E13" s="234"/>
      <c r="F13" s="234"/>
      <c r="G13" s="234"/>
      <c r="H13" s="233"/>
      <c r="I13" s="288"/>
      <c r="J13" s="287"/>
      <c r="K13" s="234"/>
      <c r="L13" s="234"/>
      <c r="M13" s="234"/>
      <c r="N13" s="234"/>
      <c r="O13" s="234"/>
      <c r="P13" s="234"/>
    </row>
    <row r="14" spans="1:16" x14ac:dyDescent="0.2">
      <c r="A14" s="456" t="s">
        <v>46</v>
      </c>
      <c r="B14" s="457"/>
      <c r="C14" s="457"/>
      <c r="D14" s="457"/>
      <c r="E14" s="457"/>
      <c r="F14" s="457"/>
      <c r="G14" s="457"/>
      <c r="H14" s="457"/>
      <c r="I14" s="458"/>
      <c r="J14" s="456"/>
      <c r="K14" s="457"/>
      <c r="L14" s="457"/>
      <c r="M14" s="457"/>
      <c r="N14" s="457"/>
      <c r="O14" s="457"/>
      <c r="P14" s="457"/>
    </row>
    <row r="15" spans="1:16" x14ac:dyDescent="0.2">
      <c r="A15" s="464" t="s">
        <v>47</v>
      </c>
      <c r="B15" s="465"/>
      <c r="C15" s="465" t="s">
        <v>48</v>
      </c>
      <c r="D15" s="465"/>
      <c r="E15" s="466" t="s">
        <v>49</v>
      </c>
      <c r="F15" s="466"/>
      <c r="G15" s="466"/>
      <c r="H15" s="466"/>
      <c r="I15" s="467"/>
      <c r="J15" s="464"/>
      <c r="K15" s="465"/>
      <c r="L15" s="465"/>
      <c r="M15" s="465"/>
      <c r="N15" s="465"/>
      <c r="O15" s="465"/>
      <c r="P15" s="465"/>
    </row>
    <row r="16" spans="1:16" s="41" customFormat="1" ht="25.5" customHeight="1" x14ac:dyDescent="0.2">
      <c r="A16" s="459" t="s">
        <v>548</v>
      </c>
      <c r="B16" s="460"/>
      <c r="C16" s="461" t="s">
        <v>51</v>
      </c>
      <c r="D16" s="462"/>
      <c r="E16" s="463" t="s">
        <v>18</v>
      </c>
      <c r="F16" s="463"/>
      <c r="G16" s="463"/>
      <c r="H16" s="463"/>
      <c r="I16" s="344">
        <v>1</v>
      </c>
      <c r="J16" s="459"/>
      <c r="K16" s="460"/>
      <c r="L16" s="461"/>
      <c r="M16" s="460"/>
      <c r="O16" s="286"/>
      <c r="P16" s="286"/>
    </row>
    <row r="17" spans="1:16" ht="15" customHeight="1" x14ac:dyDescent="0.2">
      <c r="A17" s="298"/>
      <c r="B17" s="235"/>
      <c r="C17" s="31"/>
      <c r="D17" s="236"/>
      <c r="E17" s="32"/>
      <c r="F17" s="237"/>
      <c r="G17" s="237"/>
      <c r="H17" s="237"/>
      <c r="I17" s="299"/>
      <c r="J17" s="298"/>
      <c r="K17" s="235"/>
      <c r="L17" s="31"/>
      <c r="M17" s="236"/>
      <c r="N17" s="32"/>
      <c r="O17" s="237"/>
      <c r="P17" s="237"/>
    </row>
    <row r="18" spans="1:16" ht="15" customHeight="1" x14ac:dyDescent="0.2">
      <c r="A18" s="300" t="s">
        <v>52</v>
      </c>
      <c r="B18" s="235"/>
      <c r="C18" s="31"/>
      <c r="D18" s="236"/>
      <c r="E18" s="32"/>
      <c r="F18" s="237"/>
      <c r="G18" s="237"/>
      <c r="H18" s="237"/>
      <c r="I18" s="299"/>
      <c r="J18" s="300"/>
      <c r="K18" s="235"/>
      <c r="L18" s="31"/>
      <c r="M18" s="236"/>
      <c r="N18" s="32"/>
      <c r="O18" s="237"/>
      <c r="P18" s="237"/>
    </row>
    <row r="19" spans="1:16" ht="15" customHeight="1" x14ac:dyDescent="0.2">
      <c r="A19" s="300" t="s">
        <v>53</v>
      </c>
      <c r="B19" s="235"/>
      <c r="C19" s="31"/>
      <c r="D19" s="236"/>
      <c r="E19" s="32"/>
      <c r="F19" s="237"/>
      <c r="G19" s="237"/>
      <c r="H19" s="237"/>
      <c r="I19" s="299"/>
      <c r="J19" s="300"/>
      <c r="K19" s="235"/>
      <c r="L19" s="31"/>
      <c r="M19" s="236"/>
      <c r="N19" s="32"/>
      <c r="O19" s="237"/>
      <c r="P19" s="237"/>
    </row>
    <row r="20" spans="1:16" ht="15" customHeight="1" x14ac:dyDescent="0.2">
      <c r="A20" s="300" t="s">
        <v>54</v>
      </c>
      <c r="B20" s="235"/>
      <c r="C20" s="31"/>
      <c r="D20" s="236"/>
      <c r="E20" s="32"/>
      <c r="F20" s="237"/>
      <c r="G20" s="237"/>
      <c r="H20" s="237"/>
      <c r="I20" s="299"/>
      <c r="J20" s="300"/>
      <c r="K20" s="235"/>
      <c r="L20" s="31"/>
      <c r="M20" s="236"/>
      <c r="N20" s="32"/>
      <c r="O20" s="237"/>
      <c r="P20" s="237"/>
    </row>
    <row r="21" spans="1:16" ht="15" customHeight="1" x14ac:dyDescent="0.2">
      <c r="A21" s="300" t="s">
        <v>55</v>
      </c>
      <c r="B21" s="235"/>
      <c r="C21" s="31"/>
      <c r="D21" s="236"/>
      <c r="E21" s="32"/>
      <c r="F21" s="237"/>
      <c r="G21" s="237"/>
      <c r="H21" s="237"/>
      <c r="I21" s="299"/>
      <c r="J21" s="300"/>
      <c r="K21" s="235"/>
      <c r="L21" s="31"/>
      <c r="M21" s="236"/>
      <c r="N21" s="32"/>
      <c r="O21" s="237"/>
      <c r="P21" s="237"/>
    </row>
    <row r="22" spans="1:16" ht="15" customHeight="1" x14ac:dyDescent="0.2">
      <c r="A22" s="301"/>
      <c r="B22" s="235"/>
      <c r="C22" s="31"/>
      <c r="D22" s="236"/>
      <c r="E22" s="32"/>
      <c r="F22" s="237"/>
      <c r="G22" s="237"/>
      <c r="H22" s="237"/>
      <c r="I22" s="302"/>
      <c r="J22" s="301"/>
      <c r="K22" s="235"/>
      <c r="L22" s="31"/>
      <c r="M22" s="236"/>
      <c r="N22" s="32"/>
      <c r="O22" s="237"/>
      <c r="P22" s="237"/>
    </row>
    <row r="23" spans="1:16" ht="15" customHeight="1" x14ac:dyDescent="0.2">
      <c r="A23" s="303" t="s">
        <v>56</v>
      </c>
      <c r="B23" s="235"/>
      <c r="C23" s="31"/>
      <c r="D23" s="236"/>
      <c r="E23" s="32"/>
      <c r="F23" s="237"/>
      <c r="G23" s="237"/>
      <c r="H23" s="237"/>
      <c r="I23" s="299"/>
      <c r="J23" s="303"/>
      <c r="K23" s="235"/>
      <c r="L23" s="31"/>
      <c r="M23" s="236"/>
      <c r="N23" s="32"/>
      <c r="O23" s="237"/>
      <c r="P23" s="237"/>
    </row>
    <row r="24" spans="1:16" ht="15" customHeight="1" x14ac:dyDescent="0.2">
      <c r="A24" s="298"/>
      <c r="B24" s="235"/>
      <c r="C24" s="31"/>
      <c r="D24" s="236"/>
      <c r="E24" s="32"/>
      <c r="F24" s="237"/>
      <c r="G24" s="237"/>
      <c r="H24" s="237"/>
      <c r="I24" s="299"/>
      <c r="J24" s="298"/>
      <c r="K24" s="235"/>
      <c r="L24" s="31"/>
      <c r="M24" s="236"/>
      <c r="N24" s="32"/>
      <c r="O24" s="237"/>
      <c r="P24" s="237"/>
    </row>
    <row r="25" spans="1:16" ht="15" customHeight="1" x14ac:dyDescent="0.2">
      <c r="A25" s="303" t="s">
        <v>57</v>
      </c>
      <c r="B25" s="235"/>
      <c r="C25" s="31"/>
      <c r="D25" s="236"/>
      <c r="E25" s="32"/>
      <c r="F25" s="237"/>
      <c r="G25" s="237"/>
      <c r="H25" s="237"/>
      <c r="I25" s="299"/>
      <c r="J25" s="303"/>
      <c r="K25" s="235"/>
      <c r="L25" s="31"/>
      <c r="M25" s="236"/>
      <c r="N25" s="32"/>
      <c r="O25" s="237"/>
      <c r="P25" s="237"/>
    </row>
    <row r="26" spans="1:16" ht="15" customHeight="1" x14ac:dyDescent="0.2">
      <c r="A26" s="300" t="s">
        <v>58</v>
      </c>
      <c r="B26" s="235"/>
      <c r="C26" s="31"/>
      <c r="D26" s="236"/>
      <c r="E26" s="32"/>
      <c r="F26" s="237"/>
      <c r="G26" s="237"/>
      <c r="H26" s="237"/>
      <c r="I26" s="299"/>
      <c r="J26" s="300"/>
      <c r="K26" s="235"/>
      <c r="L26" s="31"/>
      <c r="M26" s="236"/>
      <c r="N26" s="32"/>
      <c r="O26" s="237"/>
      <c r="P26" s="237"/>
    </row>
    <row r="27" spans="1:16" x14ac:dyDescent="0.2">
      <c r="A27" s="456" t="s">
        <v>59</v>
      </c>
      <c r="B27" s="457"/>
      <c r="C27" s="457"/>
      <c r="D27" s="457"/>
      <c r="E27" s="457"/>
      <c r="F27" s="457"/>
      <c r="G27" s="457"/>
      <c r="H27" s="457"/>
      <c r="I27" s="458"/>
      <c r="J27" s="456"/>
      <c r="K27" s="457"/>
      <c r="L27" s="457"/>
      <c r="M27" s="457"/>
      <c r="N27" s="457"/>
      <c r="O27" s="457"/>
      <c r="P27" s="457"/>
    </row>
    <row r="28" spans="1:16" ht="25.5" x14ac:dyDescent="0.2">
      <c r="A28" s="304">
        <v>1</v>
      </c>
      <c r="B28" s="468" t="s">
        <v>60</v>
      </c>
      <c r="C28" s="468"/>
      <c r="D28" s="468"/>
      <c r="E28" s="468"/>
      <c r="F28" s="468"/>
      <c r="G28" s="468"/>
      <c r="H28" s="468"/>
      <c r="I28" s="305" t="str">
        <f>A16</f>
        <v>Remanejamento de móveis e equipamentos</v>
      </c>
      <c r="J28" s="304"/>
      <c r="K28" s="468"/>
      <c r="L28" s="468"/>
      <c r="M28" s="468"/>
      <c r="N28" s="468"/>
      <c r="O28" s="468"/>
      <c r="P28" s="468"/>
    </row>
    <row r="29" spans="1:16" x14ac:dyDescent="0.2">
      <c r="A29" s="292">
        <v>2</v>
      </c>
      <c r="B29" s="454" t="s">
        <v>61</v>
      </c>
      <c r="C29" s="454"/>
      <c r="D29" s="454"/>
      <c r="E29" s="454"/>
      <c r="F29" s="454"/>
      <c r="G29" s="454"/>
      <c r="H29" s="454"/>
      <c r="I29" s="306" t="s">
        <v>62</v>
      </c>
      <c r="J29" s="292"/>
      <c r="K29" s="454"/>
      <c r="L29" s="454"/>
      <c r="M29" s="454"/>
      <c r="N29" s="454"/>
      <c r="O29" s="454"/>
      <c r="P29" s="454"/>
    </row>
    <row r="30" spans="1:16" x14ac:dyDescent="0.2">
      <c r="A30" s="292">
        <v>3</v>
      </c>
      <c r="B30" s="455" t="s">
        <v>63</v>
      </c>
      <c r="C30" s="455"/>
      <c r="D30" s="455"/>
      <c r="E30" s="455"/>
      <c r="F30" s="455"/>
      <c r="G30" s="455"/>
      <c r="H30" s="455"/>
      <c r="I30" s="307">
        <f>'Limpeza - Item 5'!I30</f>
        <v>1524.77</v>
      </c>
      <c r="J30" s="292"/>
      <c r="K30" s="455"/>
      <c r="L30" s="455"/>
      <c r="M30" s="455"/>
      <c r="N30" s="455"/>
      <c r="O30" s="455"/>
      <c r="P30" s="455"/>
    </row>
    <row r="31" spans="1:16" x14ac:dyDescent="0.2">
      <c r="A31" s="304">
        <v>4</v>
      </c>
      <c r="B31" s="468" t="s">
        <v>64</v>
      </c>
      <c r="C31" s="468"/>
      <c r="D31" s="468"/>
      <c r="E31" s="468"/>
      <c r="F31" s="468"/>
      <c r="G31" s="468"/>
      <c r="H31" s="468"/>
      <c r="I31" s="308" t="str">
        <f>'Limpeza - Item 5'!I31</f>
        <v>Servente de limpeza</v>
      </c>
      <c r="J31" s="304"/>
      <c r="K31" s="468"/>
      <c r="L31" s="468"/>
      <c r="M31" s="468"/>
      <c r="N31" s="468"/>
      <c r="O31" s="468"/>
      <c r="P31" s="468"/>
    </row>
    <row r="32" spans="1:16" x14ac:dyDescent="0.2">
      <c r="A32" s="292">
        <v>5</v>
      </c>
      <c r="B32" s="454" t="s">
        <v>65</v>
      </c>
      <c r="C32" s="455"/>
      <c r="D32" s="455"/>
      <c r="E32" s="455"/>
      <c r="F32" s="455"/>
      <c r="G32" s="455"/>
      <c r="H32" s="455"/>
      <c r="I32" s="293">
        <v>45658</v>
      </c>
      <c r="J32" s="292"/>
      <c r="K32" s="454"/>
      <c r="L32" s="455"/>
      <c r="M32" s="455"/>
      <c r="N32" s="455"/>
      <c r="O32" s="455"/>
      <c r="P32" s="455"/>
    </row>
    <row r="33" spans="1:17" x14ac:dyDescent="0.2">
      <c r="A33" s="287"/>
      <c r="B33" s="234"/>
      <c r="C33" s="234"/>
      <c r="D33" s="234"/>
      <c r="E33" s="234"/>
      <c r="F33" s="234"/>
      <c r="G33" s="234"/>
      <c r="H33" s="234"/>
      <c r="I33" s="309"/>
      <c r="J33" s="287"/>
      <c r="K33" s="234"/>
      <c r="L33" s="234"/>
      <c r="M33" s="234"/>
      <c r="N33" s="234"/>
      <c r="O33" s="234"/>
      <c r="P33" s="234"/>
    </row>
    <row r="34" spans="1:17" x14ac:dyDescent="0.2">
      <c r="A34" s="300" t="s">
        <v>66</v>
      </c>
      <c r="B34" s="234"/>
      <c r="C34" s="234"/>
      <c r="D34" s="234"/>
      <c r="E34" s="234"/>
      <c r="F34" s="234"/>
      <c r="G34" s="234"/>
      <c r="H34" s="234"/>
      <c r="I34" s="309"/>
      <c r="J34" s="300"/>
      <c r="K34" s="234"/>
      <c r="L34" s="234"/>
      <c r="M34" s="234"/>
      <c r="N34" s="234"/>
      <c r="O34" s="234"/>
      <c r="P34" s="234"/>
    </row>
    <row r="35" spans="1:17" x14ac:dyDescent="0.2">
      <c r="A35" s="300" t="s">
        <v>67</v>
      </c>
      <c r="B35" s="234"/>
      <c r="C35" s="234"/>
      <c r="D35" s="234"/>
      <c r="E35" s="234"/>
      <c r="F35" s="234"/>
      <c r="G35" s="234"/>
      <c r="H35" s="234"/>
      <c r="I35" s="309"/>
      <c r="J35" s="300"/>
      <c r="K35" s="234"/>
      <c r="L35" s="234"/>
      <c r="M35" s="234"/>
      <c r="N35" s="234"/>
      <c r="O35" s="234"/>
      <c r="P35" s="234"/>
    </row>
    <row r="36" spans="1:17" x14ac:dyDescent="0.2">
      <c r="A36" s="57"/>
      <c r="I36" s="58"/>
      <c r="J36" s="57"/>
    </row>
    <row r="37" spans="1:17" x14ac:dyDescent="0.2">
      <c r="A37" s="469" t="s">
        <v>68</v>
      </c>
      <c r="B37" s="470"/>
      <c r="C37" s="470"/>
      <c r="D37" s="470"/>
      <c r="E37" s="470"/>
      <c r="F37" s="470"/>
      <c r="G37" s="470"/>
      <c r="H37" s="470"/>
      <c r="I37" s="471"/>
      <c r="J37" s="469"/>
      <c r="K37" s="470"/>
      <c r="L37" s="470"/>
      <c r="M37" s="470"/>
      <c r="N37" s="470"/>
      <c r="O37" s="470"/>
      <c r="P37" s="470"/>
    </row>
    <row r="38" spans="1:17" x14ac:dyDescent="0.2">
      <c r="A38" s="296">
        <v>1</v>
      </c>
      <c r="B38" s="465" t="s">
        <v>69</v>
      </c>
      <c r="C38" s="465"/>
      <c r="D38" s="465"/>
      <c r="E38" s="465"/>
      <c r="F38" s="465"/>
      <c r="G38" s="465"/>
      <c r="H38" s="8" t="s">
        <v>70</v>
      </c>
      <c r="I38" s="297" t="s">
        <v>71</v>
      </c>
      <c r="J38" s="296"/>
      <c r="K38" s="465"/>
      <c r="L38" s="465"/>
      <c r="M38" s="465"/>
      <c r="N38" s="465"/>
      <c r="O38" s="465"/>
      <c r="P38" s="465"/>
    </row>
    <row r="39" spans="1:17" x14ac:dyDescent="0.2">
      <c r="A39" s="296" t="s">
        <v>37</v>
      </c>
      <c r="B39" s="454" t="s">
        <v>72</v>
      </c>
      <c r="C39" s="454"/>
      <c r="D39" s="454"/>
      <c r="E39" s="454"/>
      <c r="F39" s="454"/>
      <c r="G39" s="454"/>
      <c r="H39" s="20"/>
      <c r="I39" s="310">
        <f>I30</f>
        <v>1524.77</v>
      </c>
      <c r="J39" s="296"/>
      <c r="K39" s="454"/>
      <c r="L39" s="454"/>
      <c r="M39" s="454"/>
      <c r="N39" s="454"/>
      <c r="O39" s="454"/>
      <c r="P39" s="454"/>
    </row>
    <row r="40" spans="1:17" x14ac:dyDescent="0.2">
      <c r="A40" s="296" t="s">
        <v>39</v>
      </c>
      <c r="B40" s="454" t="s">
        <v>73</v>
      </c>
      <c r="C40" s="454"/>
      <c r="D40" s="454"/>
      <c r="E40" s="454"/>
      <c r="F40" s="454"/>
      <c r="G40" s="454"/>
      <c r="H40" s="2"/>
      <c r="I40" s="310">
        <f>I39*H40</f>
        <v>0</v>
      </c>
      <c r="J40" s="296"/>
      <c r="K40" s="454"/>
      <c r="L40" s="454"/>
      <c r="M40" s="454"/>
      <c r="N40" s="454"/>
      <c r="O40" s="454"/>
      <c r="P40" s="454"/>
      <c r="Q40" s="25"/>
    </row>
    <row r="41" spans="1:17" x14ac:dyDescent="0.2">
      <c r="A41" s="296" t="s">
        <v>41</v>
      </c>
      <c r="B41" s="454" t="s">
        <v>74</v>
      </c>
      <c r="C41" s="454"/>
      <c r="D41" s="454"/>
      <c r="E41" s="454"/>
      <c r="F41" s="454"/>
      <c r="G41" s="454"/>
      <c r="H41" s="2"/>
      <c r="I41" s="310">
        <f>H41*I39</f>
        <v>0</v>
      </c>
      <c r="J41" s="296"/>
      <c r="K41" s="454"/>
      <c r="L41" s="454"/>
      <c r="M41" s="454"/>
      <c r="N41" s="454"/>
      <c r="O41" s="454"/>
      <c r="P41" s="454"/>
    </row>
    <row r="42" spans="1:17" x14ac:dyDescent="0.2">
      <c r="A42" s="296" t="s">
        <v>44</v>
      </c>
      <c r="B42" s="454" t="s">
        <v>75</v>
      </c>
      <c r="C42" s="454"/>
      <c r="D42" s="454"/>
      <c r="E42" s="454"/>
      <c r="F42" s="454"/>
      <c r="G42" s="454"/>
      <c r="H42" s="2"/>
      <c r="I42" s="310">
        <v>0</v>
      </c>
      <c r="J42" s="296"/>
      <c r="K42" s="454"/>
      <c r="L42" s="454"/>
      <c r="M42" s="454"/>
      <c r="N42" s="454"/>
      <c r="O42" s="454"/>
      <c r="P42" s="454"/>
      <c r="Q42" s="25"/>
    </row>
    <row r="43" spans="1:17" x14ac:dyDescent="0.2">
      <c r="A43" s="296" t="s">
        <v>76</v>
      </c>
      <c r="B43" s="454" t="s">
        <v>77</v>
      </c>
      <c r="C43" s="454"/>
      <c r="D43" s="454"/>
      <c r="E43" s="454"/>
      <c r="F43" s="454"/>
      <c r="G43" s="454"/>
      <c r="H43" s="5"/>
      <c r="I43" s="310">
        <v>0</v>
      </c>
      <c r="J43" s="296"/>
      <c r="K43" s="454"/>
      <c r="L43" s="454"/>
      <c r="M43" s="454"/>
      <c r="N43" s="454"/>
      <c r="O43" s="454"/>
      <c r="P43" s="454"/>
      <c r="Q43" s="25"/>
    </row>
    <row r="44" spans="1:17" x14ac:dyDescent="0.2">
      <c r="A44" s="296" t="s">
        <v>78</v>
      </c>
      <c r="B44" s="454" t="s">
        <v>79</v>
      </c>
      <c r="C44" s="454"/>
      <c r="D44" s="454"/>
      <c r="E44" s="454"/>
      <c r="F44" s="454"/>
      <c r="G44" s="454"/>
      <c r="H44" s="2"/>
      <c r="I44" s="310">
        <v>0</v>
      </c>
      <c r="J44" s="296"/>
      <c r="K44" s="454"/>
      <c r="L44" s="454"/>
      <c r="M44" s="454"/>
      <c r="N44" s="454"/>
      <c r="O44" s="454"/>
      <c r="P44" s="454"/>
    </row>
    <row r="45" spans="1:17" x14ac:dyDescent="0.2">
      <c r="A45" s="475" t="s">
        <v>80</v>
      </c>
      <c r="B45" s="457"/>
      <c r="C45" s="457"/>
      <c r="D45" s="457"/>
      <c r="E45" s="457"/>
      <c r="F45" s="457"/>
      <c r="G45" s="457"/>
      <c r="H45" s="457"/>
      <c r="I45" s="311">
        <f>SUM(I39:I44)</f>
        <v>1524.77</v>
      </c>
      <c r="J45" s="475"/>
      <c r="K45" s="457"/>
      <c r="L45" s="457"/>
      <c r="M45" s="457"/>
      <c r="N45" s="457"/>
      <c r="O45" s="457"/>
      <c r="P45" s="457"/>
    </row>
    <row r="46" spans="1:17" s="9" customFormat="1" x14ac:dyDescent="0.2">
      <c r="A46" s="59"/>
      <c r="I46" s="97"/>
      <c r="J46" s="59"/>
    </row>
    <row r="47" spans="1:17" s="9" customFormat="1" x14ac:dyDescent="0.2">
      <c r="A47" s="300" t="s">
        <v>81</v>
      </c>
      <c r="I47" s="97"/>
      <c r="J47" s="300"/>
    </row>
    <row r="48" spans="1:17" s="9" customFormat="1" x14ac:dyDescent="0.2">
      <c r="A48" s="300" t="s">
        <v>82</v>
      </c>
      <c r="I48" s="97"/>
      <c r="J48" s="300"/>
    </row>
    <row r="49" spans="1:16" x14ac:dyDescent="0.2">
      <c r="A49" s="312"/>
      <c r="B49" s="3"/>
      <c r="C49" s="3"/>
      <c r="D49" s="3"/>
      <c r="E49" s="3"/>
      <c r="F49" s="3"/>
      <c r="G49" s="3"/>
      <c r="H49" s="3"/>
      <c r="I49" s="61"/>
      <c r="J49" s="312"/>
      <c r="K49" s="3"/>
      <c r="L49" s="3"/>
      <c r="M49" s="3"/>
      <c r="N49" s="3"/>
      <c r="O49" s="3"/>
      <c r="P49" s="3"/>
    </row>
    <row r="50" spans="1:16" x14ac:dyDescent="0.2">
      <c r="A50" s="469" t="s">
        <v>83</v>
      </c>
      <c r="B50" s="470"/>
      <c r="C50" s="470"/>
      <c r="D50" s="470"/>
      <c r="E50" s="470"/>
      <c r="F50" s="470"/>
      <c r="G50" s="470"/>
      <c r="H50" s="470"/>
      <c r="I50" s="471"/>
      <c r="J50" s="469"/>
      <c r="K50" s="470"/>
      <c r="L50" s="470"/>
      <c r="M50" s="470"/>
      <c r="N50" s="470"/>
      <c r="O50" s="470"/>
      <c r="P50" s="470"/>
    </row>
    <row r="51" spans="1:16" x14ac:dyDescent="0.2">
      <c r="A51" s="313" t="s">
        <v>84</v>
      </c>
      <c r="B51" s="472" t="s">
        <v>85</v>
      </c>
      <c r="C51" s="473"/>
      <c r="D51" s="473"/>
      <c r="E51" s="473"/>
      <c r="F51" s="473"/>
      <c r="G51" s="474"/>
      <c r="H51" s="8" t="s">
        <v>70</v>
      </c>
      <c r="I51" s="297" t="s">
        <v>71</v>
      </c>
      <c r="J51" s="313"/>
      <c r="K51" s="472"/>
      <c r="L51" s="473"/>
      <c r="M51" s="473"/>
      <c r="N51" s="473"/>
      <c r="O51" s="473"/>
      <c r="P51" s="474"/>
    </row>
    <row r="52" spans="1:16" ht="13.5" customHeight="1" x14ac:dyDescent="0.2">
      <c r="A52" s="296" t="s">
        <v>37</v>
      </c>
      <c r="B52" s="454" t="s">
        <v>86</v>
      </c>
      <c r="C52" s="454"/>
      <c r="D52" s="454"/>
      <c r="E52" s="454"/>
      <c r="F52" s="454"/>
      <c r="G52" s="454"/>
      <c r="H52" s="1">
        <f>1/12</f>
        <v>8.3333333333333329E-2</v>
      </c>
      <c r="I52" s="82">
        <f>$I$45*H52</f>
        <v>127.06416666666667</v>
      </c>
      <c r="J52" s="296"/>
      <c r="K52" s="454"/>
      <c r="L52" s="454"/>
      <c r="M52" s="454"/>
      <c r="N52" s="454"/>
      <c r="O52" s="454"/>
      <c r="P52" s="454"/>
    </row>
    <row r="53" spans="1:16" x14ac:dyDescent="0.2">
      <c r="A53" s="296" t="s">
        <v>39</v>
      </c>
      <c r="B53" s="454" t="s">
        <v>87</v>
      </c>
      <c r="C53" s="454"/>
      <c r="D53" s="454"/>
      <c r="E53" s="454"/>
      <c r="F53" s="454"/>
      <c r="G53" s="454"/>
      <c r="H53" s="22">
        <v>0.121</v>
      </c>
      <c r="I53" s="82">
        <f>$I$45*H53</f>
        <v>184.49716999999998</v>
      </c>
      <c r="J53" s="296"/>
      <c r="K53" s="454"/>
      <c r="L53" s="454"/>
      <c r="M53" s="454"/>
      <c r="N53" s="454"/>
      <c r="O53" s="454"/>
      <c r="P53" s="454"/>
    </row>
    <row r="54" spans="1:16" x14ac:dyDescent="0.2">
      <c r="A54" s="456" t="s">
        <v>88</v>
      </c>
      <c r="B54" s="457"/>
      <c r="C54" s="457"/>
      <c r="D54" s="457"/>
      <c r="E54" s="457"/>
      <c r="F54" s="457"/>
      <c r="G54" s="457"/>
      <c r="H54" s="33">
        <f>TRUNC(SUM(H52:H53),4)</f>
        <v>0.20430000000000001</v>
      </c>
      <c r="I54" s="314">
        <f>SUM(I52:I53)</f>
        <v>311.56133666666665</v>
      </c>
      <c r="J54" s="456"/>
      <c r="K54" s="457"/>
      <c r="L54" s="457"/>
      <c r="M54" s="457"/>
      <c r="N54" s="457"/>
      <c r="O54" s="457"/>
      <c r="P54" s="457"/>
    </row>
    <row r="55" spans="1:16" ht="21.95" customHeight="1" x14ac:dyDescent="0.2">
      <c r="A55" s="313" t="s">
        <v>41</v>
      </c>
      <c r="B55" s="479" t="s">
        <v>89</v>
      </c>
      <c r="C55" s="479"/>
      <c r="D55" s="479"/>
      <c r="E55" s="479"/>
      <c r="F55" s="479"/>
      <c r="G55" s="479"/>
      <c r="H55" s="149">
        <f>H54*H75</f>
        <v>7.518240000000001E-2</v>
      </c>
      <c r="I55" s="83">
        <f>$I$45*H55</f>
        <v>114.63586804800002</v>
      </c>
      <c r="J55" s="313"/>
      <c r="K55" s="479"/>
      <c r="L55" s="479"/>
      <c r="M55" s="479"/>
      <c r="N55" s="479"/>
      <c r="O55" s="479"/>
      <c r="P55" s="479"/>
    </row>
    <row r="56" spans="1:16" x14ac:dyDescent="0.2">
      <c r="A56" s="456" t="s">
        <v>90</v>
      </c>
      <c r="B56" s="457"/>
      <c r="C56" s="457"/>
      <c r="D56" s="457"/>
      <c r="E56" s="457"/>
      <c r="F56" s="457"/>
      <c r="G56" s="457"/>
      <c r="H56" s="33">
        <f>TRUNC(SUM(H54:H55),4)</f>
        <v>0.27939999999999998</v>
      </c>
      <c r="I56" s="314">
        <f>SUM(I54:I55)</f>
        <v>426.19720471466667</v>
      </c>
      <c r="J56" s="456"/>
      <c r="K56" s="457"/>
      <c r="L56" s="457"/>
      <c r="M56" s="457"/>
      <c r="N56" s="457"/>
      <c r="O56" s="457"/>
      <c r="P56" s="457"/>
    </row>
    <row r="57" spans="1:16" x14ac:dyDescent="0.2">
      <c r="A57" s="312"/>
      <c r="B57" s="3"/>
      <c r="C57" s="3"/>
      <c r="D57" s="3"/>
      <c r="E57" s="3"/>
      <c r="F57" s="3"/>
      <c r="G57" s="3"/>
      <c r="H57" s="35"/>
      <c r="I57" s="61"/>
      <c r="J57" s="312"/>
      <c r="K57" s="3"/>
      <c r="L57" s="3"/>
      <c r="M57" s="3"/>
      <c r="N57" s="3"/>
      <c r="O57" s="3"/>
      <c r="P57" s="3"/>
    </row>
    <row r="58" spans="1:16" x14ac:dyDescent="0.2">
      <c r="A58" s="300" t="s">
        <v>91</v>
      </c>
      <c r="B58" s="3"/>
      <c r="C58" s="3"/>
      <c r="D58" s="3"/>
      <c r="E58" s="3"/>
      <c r="F58" s="3"/>
      <c r="G58" s="3"/>
      <c r="H58" s="35"/>
      <c r="I58" s="61"/>
      <c r="J58" s="300"/>
      <c r="K58" s="3"/>
      <c r="L58" s="3"/>
      <c r="M58" s="3"/>
      <c r="N58" s="3"/>
      <c r="O58" s="3"/>
      <c r="P58" s="3"/>
    </row>
    <row r="59" spans="1:16" x14ac:dyDescent="0.2">
      <c r="A59" s="300" t="s">
        <v>92</v>
      </c>
      <c r="B59" s="3"/>
      <c r="C59" s="3"/>
      <c r="D59" s="3"/>
      <c r="E59" s="3"/>
      <c r="F59" s="3"/>
      <c r="G59" s="3"/>
      <c r="H59" s="35"/>
      <c r="I59" s="61"/>
      <c r="J59" s="300"/>
      <c r="K59" s="3"/>
      <c r="L59" s="3"/>
      <c r="M59" s="3"/>
      <c r="N59" s="3"/>
      <c r="O59" s="3"/>
      <c r="P59" s="3"/>
    </row>
    <row r="60" spans="1:16" x14ac:dyDescent="0.2">
      <c r="A60" s="300" t="s">
        <v>93</v>
      </c>
      <c r="B60" s="3"/>
      <c r="C60" s="3"/>
      <c r="D60" s="3"/>
      <c r="E60" s="3"/>
      <c r="F60" s="3"/>
      <c r="G60" s="3"/>
      <c r="H60" s="35"/>
      <c r="I60" s="61"/>
      <c r="J60" s="300"/>
      <c r="K60" s="3"/>
      <c r="L60" s="3"/>
      <c r="M60" s="3"/>
      <c r="N60" s="3"/>
      <c r="O60" s="3"/>
      <c r="P60" s="3"/>
    </row>
    <row r="61" spans="1:16" x14ac:dyDescent="0.2">
      <c r="A61" s="300" t="s">
        <v>94</v>
      </c>
      <c r="B61" s="9"/>
      <c r="C61" s="9"/>
      <c r="D61" s="9"/>
      <c r="E61" s="9"/>
      <c r="F61" s="9"/>
      <c r="G61" s="9"/>
      <c r="H61" s="9"/>
      <c r="I61" s="97"/>
      <c r="J61" s="300"/>
      <c r="K61" s="9"/>
      <c r="L61" s="9"/>
      <c r="M61" s="9"/>
      <c r="N61" s="9"/>
      <c r="O61" s="9"/>
      <c r="P61" s="9"/>
    </row>
    <row r="62" spans="1:16" x14ac:dyDescent="0.2">
      <c r="A62" s="300" t="s">
        <v>95</v>
      </c>
      <c r="B62" s="9"/>
      <c r="C62" s="9"/>
      <c r="D62" s="9"/>
      <c r="E62" s="9"/>
      <c r="F62" s="9"/>
      <c r="G62" s="9"/>
      <c r="H62" s="9"/>
      <c r="I62" s="97"/>
      <c r="J62" s="300"/>
      <c r="K62" s="9"/>
      <c r="L62" s="9"/>
      <c r="M62" s="9"/>
      <c r="N62" s="9"/>
      <c r="O62" s="9"/>
      <c r="P62" s="9"/>
    </row>
    <row r="63" spans="1:16" x14ac:dyDescent="0.2">
      <c r="A63" s="300"/>
      <c r="B63" s="9"/>
      <c r="C63" s="9"/>
      <c r="D63" s="9"/>
      <c r="E63" s="9"/>
      <c r="F63" s="9"/>
      <c r="G63" s="9"/>
      <c r="H63" s="9"/>
      <c r="I63" s="97"/>
      <c r="J63" s="300"/>
      <c r="K63" s="9"/>
      <c r="L63" s="9"/>
      <c r="M63" s="9"/>
      <c r="N63" s="9"/>
      <c r="O63" s="9"/>
      <c r="P63" s="9"/>
    </row>
    <row r="64" spans="1:16" x14ac:dyDescent="0.2">
      <c r="A64" s="300"/>
      <c r="B64" s="9"/>
      <c r="C64" s="9"/>
      <c r="D64" s="9"/>
      <c r="E64" s="9"/>
      <c r="F64" s="9"/>
      <c r="G64" s="9"/>
      <c r="H64" s="9"/>
      <c r="I64" s="97"/>
      <c r="J64" s="300"/>
      <c r="K64" s="9"/>
      <c r="L64" s="9"/>
      <c r="M64" s="9"/>
      <c r="N64" s="9"/>
      <c r="O64" s="9"/>
      <c r="P64" s="9"/>
    </row>
    <row r="65" spans="1:17" x14ac:dyDescent="0.2">
      <c r="A65" s="42"/>
      <c r="B65" s="36"/>
      <c r="C65" s="36"/>
      <c r="D65" s="36"/>
      <c r="E65" s="36"/>
      <c r="F65" s="36"/>
      <c r="G65" s="36"/>
      <c r="H65" s="36"/>
      <c r="I65" s="315"/>
      <c r="J65" s="42"/>
      <c r="K65" s="36"/>
      <c r="L65" s="36"/>
      <c r="M65" s="36"/>
      <c r="N65" s="36"/>
      <c r="O65" s="36"/>
      <c r="P65" s="36"/>
    </row>
    <row r="66" spans="1:17" x14ac:dyDescent="0.2">
      <c r="A66" s="316" t="s">
        <v>96</v>
      </c>
      <c r="B66" s="476" t="s">
        <v>97</v>
      </c>
      <c r="C66" s="477"/>
      <c r="D66" s="477"/>
      <c r="E66" s="477"/>
      <c r="F66" s="477"/>
      <c r="G66" s="478"/>
      <c r="H66" s="26" t="s">
        <v>70</v>
      </c>
      <c r="I66" s="291" t="s">
        <v>71</v>
      </c>
      <c r="J66" s="316"/>
      <c r="K66" s="476"/>
      <c r="L66" s="477"/>
      <c r="M66" s="477"/>
      <c r="N66" s="477"/>
      <c r="O66" s="477"/>
      <c r="P66" s="478"/>
    </row>
    <row r="67" spans="1:17" x14ac:dyDescent="0.2">
      <c r="A67" s="296" t="s">
        <v>37</v>
      </c>
      <c r="B67" s="454" t="s">
        <v>98</v>
      </c>
      <c r="C67" s="454"/>
      <c r="D67" s="454"/>
      <c r="E67" s="454"/>
      <c r="F67" s="454"/>
      <c r="G67" s="454"/>
      <c r="H67" s="1">
        <v>0.2</v>
      </c>
      <c r="I67" s="82">
        <f t="shared" ref="I67:I74" si="0">H67*($I$45)</f>
        <v>304.95400000000001</v>
      </c>
      <c r="J67" s="296"/>
      <c r="K67" s="454"/>
      <c r="L67" s="454"/>
      <c r="M67" s="454"/>
      <c r="N67" s="454"/>
      <c r="O67" s="454"/>
      <c r="P67" s="454"/>
    </row>
    <row r="68" spans="1:17" x14ac:dyDescent="0.2">
      <c r="A68" s="296" t="s">
        <v>39</v>
      </c>
      <c r="B68" s="454" t="s">
        <v>99</v>
      </c>
      <c r="C68" s="454"/>
      <c r="D68" s="454"/>
      <c r="E68" s="454"/>
      <c r="F68" s="454"/>
      <c r="G68" s="454"/>
      <c r="H68" s="1">
        <v>2.5000000000000001E-2</v>
      </c>
      <c r="I68" s="82">
        <f t="shared" si="0"/>
        <v>38.119250000000001</v>
      </c>
      <c r="J68" s="296"/>
      <c r="K68" s="454"/>
      <c r="L68" s="454"/>
      <c r="M68" s="454"/>
      <c r="N68" s="454"/>
      <c r="O68" s="454"/>
      <c r="P68" s="454"/>
    </row>
    <row r="69" spans="1:17" x14ac:dyDescent="0.2">
      <c r="A69" s="296" t="s">
        <v>41</v>
      </c>
      <c r="B69" s="454" t="s">
        <v>100</v>
      </c>
      <c r="C69" s="454"/>
      <c r="D69" s="454"/>
      <c r="E69" s="454"/>
      <c r="F69" s="454"/>
      <c r="G69" s="454"/>
      <c r="H69" s="1">
        <v>0.03</v>
      </c>
      <c r="I69" s="82">
        <f t="shared" si="0"/>
        <v>45.743099999999998</v>
      </c>
      <c r="J69" s="296"/>
      <c r="K69" s="454"/>
      <c r="L69" s="454"/>
      <c r="M69" s="454"/>
      <c r="N69" s="454"/>
      <c r="O69" s="454"/>
      <c r="P69" s="454"/>
      <c r="Q69" s="25"/>
    </row>
    <row r="70" spans="1:17" x14ac:dyDescent="0.2">
      <c r="A70" s="296" t="s">
        <v>44</v>
      </c>
      <c r="B70" s="454" t="s">
        <v>101</v>
      </c>
      <c r="C70" s="454"/>
      <c r="D70" s="454"/>
      <c r="E70" s="454"/>
      <c r="F70" s="454"/>
      <c r="G70" s="454"/>
      <c r="H70" s="1">
        <v>1.4999999999999999E-2</v>
      </c>
      <c r="I70" s="82">
        <f t="shared" si="0"/>
        <v>22.871549999999999</v>
      </c>
      <c r="J70" s="296"/>
      <c r="K70" s="454"/>
      <c r="L70" s="454"/>
      <c r="M70" s="454"/>
      <c r="N70" s="454"/>
      <c r="O70" s="454"/>
      <c r="P70" s="454"/>
    </row>
    <row r="71" spans="1:17" x14ac:dyDescent="0.2">
      <c r="A71" s="296" t="s">
        <v>76</v>
      </c>
      <c r="B71" s="454" t="s">
        <v>102</v>
      </c>
      <c r="C71" s="454"/>
      <c r="D71" s="454"/>
      <c r="E71" s="454"/>
      <c r="F71" s="454"/>
      <c r="G71" s="454"/>
      <c r="H71" s="1">
        <v>0.01</v>
      </c>
      <c r="I71" s="82">
        <f t="shared" si="0"/>
        <v>15.2477</v>
      </c>
      <c r="J71" s="296"/>
      <c r="K71" s="454"/>
      <c r="L71" s="454"/>
      <c r="M71" s="454"/>
      <c r="N71" s="454"/>
      <c r="O71" s="454"/>
      <c r="P71" s="454"/>
    </row>
    <row r="72" spans="1:17" x14ac:dyDescent="0.2">
      <c r="A72" s="296" t="s">
        <v>78</v>
      </c>
      <c r="B72" s="454" t="s">
        <v>103</v>
      </c>
      <c r="C72" s="454"/>
      <c r="D72" s="454"/>
      <c r="E72" s="454"/>
      <c r="F72" s="454"/>
      <c r="G72" s="454"/>
      <c r="H72" s="1">
        <v>6.0000000000000001E-3</v>
      </c>
      <c r="I72" s="82">
        <f t="shared" si="0"/>
        <v>9.1486199999999993</v>
      </c>
      <c r="J72" s="296"/>
      <c r="K72" s="454"/>
      <c r="L72" s="454"/>
      <c r="M72" s="454"/>
      <c r="N72" s="454"/>
      <c r="O72" s="454"/>
      <c r="P72" s="454"/>
    </row>
    <row r="73" spans="1:17" x14ac:dyDescent="0.2">
      <c r="A73" s="296" t="s">
        <v>104</v>
      </c>
      <c r="B73" s="454" t="s">
        <v>105</v>
      </c>
      <c r="C73" s="454"/>
      <c r="D73" s="454"/>
      <c r="E73" s="454"/>
      <c r="F73" s="454"/>
      <c r="G73" s="454"/>
      <c r="H73" s="1">
        <v>2E-3</v>
      </c>
      <c r="I73" s="82">
        <f t="shared" si="0"/>
        <v>3.0495399999999999</v>
      </c>
      <c r="J73" s="296"/>
      <c r="K73" s="454"/>
      <c r="L73" s="454"/>
      <c r="M73" s="454"/>
      <c r="N73" s="454"/>
      <c r="O73" s="454"/>
      <c r="P73" s="454"/>
    </row>
    <row r="74" spans="1:17" x14ac:dyDescent="0.2">
      <c r="A74" s="296" t="s">
        <v>106</v>
      </c>
      <c r="B74" s="454" t="s">
        <v>107</v>
      </c>
      <c r="C74" s="454"/>
      <c r="D74" s="454"/>
      <c r="E74" s="454"/>
      <c r="F74" s="454"/>
      <c r="G74" s="454"/>
      <c r="H74" s="1">
        <v>0.08</v>
      </c>
      <c r="I74" s="82">
        <f t="shared" si="0"/>
        <v>121.9816</v>
      </c>
      <c r="J74" s="296"/>
      <c r="K74" s="454"/>
      <c r="L74" s="454"/>
      <c r="M74" s="454"/>
      <c r="N74" s="454"/>
      <c r="O74" s="454"/>
      <c r="P74" s="454"/>
    </row>
    <row r="75" spans="1:17" x14ac:dyDescent="0.2">
      <c r="A75" s="456" t="s">
        <v>11</v>
      </c>
      <c r="B75" s="457"/>
      <c r="C75" s="457"/>
      <c r="D75" s="457"/>
      <c r="E75" s="457"/>
      <c r="F75" s="457"/>
      <c r="G75" s="457"/>
      <c r="H75" s="33">
        <f>SUM(H67:H74)</f>
        <v>0.36800000000000005</v>
      </c>
      <c r="I75" s="314">
        <f>SUM(I67:I74)</f>
        <v>561.11536000000001</v>
      </c>
      <c r="J75" s="456"/>
      <c r="K75" s="457"/>
      <c r="L75" s="457"/>
      <c r="M75" s="457"/>
      <c r="N75" s="457"/>
      <c r="O75" s="457"/>
      <c r="P75" s="457"/>
    </row>
    <row r="76" spans="1:17" x14ac:dyDescent="0.2">
      <c r="A76" s="312"/>
      <c r="B76" s="3"/>
      <c r="C76" s="3"/>
      <c r="D76" s="3"/>
      <c r="E76" s="3"/>
      <c r="F76" s="3"/>
      <c r="G76" s="3"/>
      <c r="H76" s="35"/>
      <c r="I76" s="61"/>
      <c r="J76" s="312"/>
      <c r="K76" s="3"/>
      <c r="L76" s="3"/>
      <c r="M76" s="3"/>
      <c r="N76" s="3"/>
      <c r="O76" s="3"/>
      <c r="P76" s="3"/>
    </row>
    <row r="77" spans="1:17" x14ac:dyDescent="0.2">
      <c r="A77" s="300" t="s">
        <v>108</v>
      </c>
      <c r="B77" s="3"/>
      <c r="C77" s="3"/>
      <c r="D77" s="3"/>
      <c r="E77" s="3"/>
      <c r="F77" s="3"/>
      <c r="G77" s="3"/>
      <c r="H77" s="35"/>
      <c r="I77" s="61"/>
      <c r="J77" s="300"/>
      <c r="K77" s="3"/>
      <c r="L77" s="3"/>
      <c r="M77" s="3"/>
      <c r="N77" s="3"/>
      <c r="O77" s="3"/>
      <c r="P77" s="3"/>
    </row>
    <row r="78" spans="1:17" x14ac:dyDescent="0.2">
      <c r="A78" s="300" t="s">
        <v>109</v>
      </c>
      <c r="B78" s="3"/>
      <c r="C78" s="3"/>
      <c r="D78" s="3"/>
      <c r="E78" s="3"/>
      <c r="F78" s="3"/>
      <c r="G78" s="3"/>
      <c r="H78" s="35"/>
      <c r="I78" s="61"/>
      <c r="J78" s="300"/>
      <c r="K78" s="3"/>
      <c r="L78" s="3"/>
      <c r="M78" s="3"/>
      <c r="N78" s="3"/>
      <c r="O78" s="3"/>
      <c r="P78" s="3"/>
    </row>
    <row r="79" spans="1:17" x14ac:dyDescent="0.2">
      <c r="A79" s="300" t="s">
        <v>110</v>
      </c>
      <c r="B79" s="3"/>
      <c r="C79" s="3"/>
      <c r="D79" s="3"/>
      <c r="E79" s="3"/>
      <c r="F79" s="3"/>
      <c r="G79" s="3"/>
      <c r="H79" s="35"/>
      <c r="I79" s="61"/>
      <c r="J79" s="300"/>
      <c r="K79" s="3"/>
      <c r="L79" s="3"/>
      <c r="M79" s="3"/>
      <c r="N79" s="3"/>
      <c r="O79" s="3"/>
      <c r="P79" s="3"/>
    </row>
    <row r="80" spans="1:17" x14ac:dyDescent="0.2">
      <c r="A80" s="300" t="s">
        <v>111</v>
      </c>
      <c r="B80" s="3"/>
      <c r="C80" s="3"/>
      <c r="D80" s="3"/>
      <c r="E80" s="3"/>
      <c r="F80" s="3"/>
      <c r="G80" s="3"/>
      <c r="H80" s="35"/>
      <c r="I80" s="61"/>
      <c r="J80" s="300"/>
      <c r="K80" s="3"/>
      <c r="L80" s="3"/>
      <c r="M80" s="3"/>
      <c r="N80" s="3"/>
      <c r="O80" s="3"/>
      <c r="P80" s="3"/>
    </row>
    <row r="81" spans="1:16" x14ac:dyDescent="0.2">
      <c r="A81" s="300" t="s">
        <v>112</v>
      </c>
      <c r="B81" s="3"/>
      <c r="C81" s="3"/>
      <c r="D81" s="3"/>
      <c r="E81" s="3"/>
      <c r="F81" s="3"/>
      <c r="G81" s="3"/>
      <c r="H81" s="35"/>
      <c r="I81" s="61"/>
      <c r="J81" s="300"/>
      <c r="K81" s="3"/>
      <c r="L81" s="3"/>
      <c r="M81" s="3"/>
      <c r="N81" s="3"/>
      <c r="O81" s="3"/>
      <c r="P81" s="3"/>
    </row>
    <row r="82" spans="1:16" x14ac:dyDescent="0.2">
      <c r="A82" s="59"/>
      <c r="B82" s="9"/>
      <c r="C82" s="9"/>
      <c r="D82" s="9"/>
      <c r="E82" s="9"/>
      <c r="F82" s="9"/>
      <c r="G82" s="9"/>
      <c r="H82" s="9"/>
      <c r="I82" s="97"/>
      <c r="J82" s="59"/>
      <c r="K82" s="9"/>
      <c r="L82" s="9"/>
      <c r="M82" s="9"/>
      <c r="N82" s="9"/>
      <c r="O82" s="9"/>
      <c r="P82" s="9"/>
    </row>
    <row r="83" spans="1:16" x14ac:dyDescent="0.2">
      <c r="A83" s="316" t="s">
        <v>113</v>
      </c>
      <c r="B83" s="483" t="s">
        <v>114</v>
      </c>
      <c r="C83" s="484"/>
      <c r="D83" s="484"/>
      <c r="E83" s="484"/>
      <c r="F83" s="484"/>
      <c r="G83" s="485"/>
      <c r="H83" s="33"/>
      <c r="I83" s="291" t="s">
        <v>71</v>
      </c>
      <c r="J83" s="316"/>
      <c r="K83" s="483"/>
      <c r="L83" s="484"/>
      <c r="M83" s="484"/>
      <c r="N83" s="484"/>
      <c r="O83" s="484"/>
      <c r="P83" s="485"/>
    </row>
    <row r="84" spans="1:16" ht="14.1" customHeight="1" x14ac:dyDescent="0.2">
      <c r="A84" s="296" t="s">
        <v>37</v>
      </c>
      <c r="B84" s="480" t="s">
        <v>115</v>
      </c>
      <c r="C84" s="480"/>
      <c r="D84" s="480"/>
      <c r="E84" s="480"/>
      <c r="F84" s="480"/>
      <c r="G84" s="480"/>
      <c r="H84" s="21" t="s">
        <v>116</v>
      </c>
      <c r="I84" s="317">
        <f>'Mód2.3 '!E12</f>
        <v>124.11380000000003</v>
      </c>
      <c r="J84" s="296"/>
      <c r="K84" s="480"/>
      <c r="L84" s="480"/>
      <c r="M84" s="480"/>
      <c r="N84" s="480"/>
      <c r="O84" s="480"/>
      <c r="P84" s="480"/>
    </row>
    <row r="85" spans="1:16" x14ac:dyDescent="0.2">
      <c r="A85" s="296" t="s">
        <v>39</v>
      </c>
      <c r="B85" s="480" t="s">
        <v>117</v>
      </c>
      <c r="C85" s="480"/>
      <c r="D85" s="480"/>
      <c r="E85" s="480"/>
      <c r="F85" s="480"/>
      <c r="G85" s="480"/>
      <c r="H85" s="21" t="s">
        <v>116</v>
      </c>
      <c r="I85" s="317">
        <f>'Mód2.3 '!E25</f>
        <v>540</v>
      </c>
      <c r="J85" s="296"/>
      <c r="K85" s="480"/>
      <c r="L85" s="480"/>
      <c r="M85" s="480"/>
      <c r="N85" s="480"/>
      <c r="O85" s="480"/>
      <c r="P85" s="480"/>
    </row>
    <row r="86" spans="1:16" x14ac:dyDescent="0.2">
      <c r="A86" s="296" t="s">
        <v>41</v>
      </c>
      <c r="B86" s="480" t="s">
        <v>118</v>
      </c>
      <c r="C86" s="480"/>
      <c r="D86" s="480"/>
      <c r="E86" s="480"/>
      <c r="F86" s="480"/>
      <c r="G86" s="480"/>
      <c r="H86" s="21" t="s">
        <v>116</v>
      </c>
      <c r="I86" s="317">
        <f>'Mód2.3 '!E33</f>
        <v>0</v>
      </c>
      <c r="J86" s="296"/>
      <c r="K86" s="480"/>
      <c r="L86" s="480"/>
      <c r="M86" s="480"/>
      <c r="N86" s="480"/>
      <c r="O86" s="480"/>
      <c r="P86" s="480"/>
    </row>
    <row r="87" spans="1:16" ht="15" customHeight="1" x14ac:dyDescent="0.2">
      <c r="A87" s="313" t="s">
        <v>44</v>
      </c>
      <c r="B87" s="481" t="s">
        <v>119</v>
      </c>
      <c r="C87" s="480"/>
      <c r="D87" s="480"/>
      <c r="E87" s="480"/>
      <c r="F87" s="480"/>
      <c r="G87" s="480"/>
      <c r="H87" s="28" t="s">
        <v>116</v>
      </c>
      <c r="I87" s="318">
        <f>'Mód2.3 '!E42</f>
        <v>22</v>
      </c>
      <c r="J87" s="313"/>
      <c r="K87" s="482"/>
      <c r="L87" s="482"/>
      <c r="M87" s="482"/>
      <c r="N87" s="482"/>
      <c r="O87" s="482"/>
      <c r="P87" s="482"/>
    </row>
    <row r="88" spans="1:16" x14ac:dyDescent="0.2">
      <c r="A88" s="296" t="s">
        <v>76</v>
      </c>
      <c r="B88" s="480" t="s">
        <v>220</v>
      </c>
      <c r="C88" s="480"/>
      <c r="D88" s="480"/>
      <c r="E88" s="480"/>
      <c r="F88" s="480"/>
      <c r="G88" s="480"/>
      <c r="H88" s="21" t="s">
        <v>116</v>
      </c>
      <c r="I88" s="317">
        <f>'Mód2.3 '!E52</f>
        <v>0</v>
      </c>
      <c r="J88" s="296"/>
      <c r="K88" s="480"/>
      <c r="L88" s="480"/>
      <c r="M88" s="480"/>
      <c r="N88" s="480"/>
      <c r="O88" s="480"/>
      <c r="P88" s="480"/>
    </row>
    <row r="89" spans="1:16" x14ac:dyDescent="0.2">
      <c r="A89" s="296"/>
      <c r="B89" s="481"/>
      <c r="C89" s="480"/>
      <c r="D89" s="480"/>
      <c r="E89" s="480"/>
      <c r="F89" s="480"/>
      <c r="G89" s="480"/>
      <c r="H89" s="21"/>
      <c r="I89" s="317"/>
      <c r="J89" s="296"/>
      <c r="K89" s="480"/>
      <c r="L89" s="480"/>
      <c r="M89" s="480"/>
      <c r="N89" s="480"/>
      <c r="O89" s="480"/>
      <c r="P89" s="480"/>
    </row>
    <row r="90" spans="1:16" x14ac:dyDescent="0.2">
      <c r="A90" s="456" t="s">
        <v>122</v>
      </c>
      <c r="B90" s="457"/>
      <c r="C90" s="457"/>
      <c r="D90" s="457"/>
      <c r="E90" s="457"/>
      <c r="F90" s="457"/>
      <c r="G90" s="457"/>
      <c r="H90" s="457"/>
      <c r="I90" s="314">
        <f>SUM(I84:I89)</f>
        <v>686.11380000000008</v>
      </c>
      <c r="J90" s="456"/>
      <c r="K90" s="457"/>
      <c r="L90" s="457"/>
      <c r="M90" s="457"/>
      <c r="N90" s="457"/>
      <c r="O90" s="457"/>
      <c r="P90" s="457"/>
    </row>
    <row r="91" spans="1:16" x14ac:dyDescent="0.2">
      <c r="A91" s="312"/>
      <c r="B91" s="3"/>
      <c r="C91" s="3"/>
      <c r="D91" s="3"/>
      <c r="E91" s="3"/>
      <c r="F91" s="3"/>
      <c r="G91" s="3"/>
      <c r="H91" s="3"/>
      <c r="I91" s="61"/>
      <c r="J91" s="312"/>
      <c r="K91" s="3"/>
      <c r="L91" s="3"/>
      <c r="M91" s="3"/>
      <c r="N91" s="3"/>
      <c r="O91" s="3"/>
      <c r="P91" s="3"/>
    </row>
    <row r="92" spans="1:16" x14ac:dyDescent="0.2">
      <c r="A92" s="300" t="s">
        <v>123</v>
      </c>
      <c r="B92" s="3"/>
      <c r="C92" s="3"/>
      <c r="D92" s="3"/>
      <c r="E92" s="3"/>
      <c r="F92" s="3"/>
      <c r="G92" s="3"/>
      <c r="H92" s="3"/>
      <c r="I92" s="61"/>
      <c r="J92" s="300"/>
      <c r="K92" s="3"/>
      <c r="L92" s="3"/>
      <c r="M92" s="3"/>
      <c r="N92" s="3"/>
      <c r="O92" s="3"/>
      <c r="P92" s="3"/>
    </row>
    <row r="93" spans="1:16" x14ac:dyDescent="0.2">
      <c r="A93" s="300" t="s">
        <v>124</v>
      </c>
      <c r="B93" s="3"/>
      <c r="C93" s="3"/>
      <c r="D93" s="3"/>
      <c r="E93" s="3"/>
      <c r="F93" s="3"/>
      <c r="G93" s="3"/>
      <c r="H93" s="3"/>
      <c r="I93" s="61"/>
      <c r="J93" s="300"/>
      <c r="K93" s="3"/>
      <c r="L93" s="3"/>
      <c r="M93" s="3"/>
      <c r="N93" s="3"/>
      <c r="O93" s="3"/>
      <c r="P93" s="3"/>
    </row>
    <row r="94" spans="1:16" x14ac:dyDescent="0.2">
      <c r="A94" s="300" t="s">
        <v>125</v>
      </c>
      <c r="B94" s="3"/>
      <c r="C94" s="3"/>
      <c r="D94" s="3"/>
      <c r="E94" s="3"/>
      <c r="F94" s="3"/>
      <c r="G94" s="3"/>
      <c r="H94" s="3"/>
      <c r="I94" s="61"/>
      <c r="J94" s="300"/>
      <c r="K94" s="3"/>
      <c r="L94" s="3"/>
      <c r="M94" s="3"/>
      <c r="N94" s="3"/>
      <c r="O94" s="3"/>
      <c r="P94" s="3"/>
    </row>
    <row r="95" spans="1:16" x14ac:dyDescent="0.2">
      <c r="A95" s="300" t="s">
        <v>126</v>
      </c>
      <c r="B95" s="3"/>
      <c r="C95" s="3"/>
      <c r="D95" s="3"/>
      <c r="E95" s="3"/>
      <c r="F95" s="3"/>
      <c r="G95" s="3"/>
      <c r="H95" s="3"/>
      <c r="I95" s="61"/>
      <c r="J95" s="300"/>
      <c r="K95" s="3"/>
      <c r="L95" s="3"/>
      <c r="M95" s="3"/>
      <c r="N95" s="3"/>
      <c r="O95" s="3"/>
      <c r="P95" s="3"/>
    </row>
    <row r="96" spans="1:16" x14ac:dyDescent="0.2">
      <c r="A96" s="59"/>
      <c r="B96" s="9"/>
      <c r="C96" s="9"/>
      <c r="D96" s="9"/>
      <c r="E96" s="9"/>
      <c r="F96" s="9"/>
      <c r="G96" s="9"/>
      <c r="H96" s="9"/>
      <c r="I96" s="97"/>
      <c r="J96" s="59"/>
      <c r="K96" s="9"/>
      <c r="L96" s="9"/>
      <c r="M96" s="9"/>
      <c r="N96" s="9"/>
      <c r="O96" s="9"/>
      <c r="P96" s="9"/>
    </row>
    <row r="97" spans="1:16" x14ac:dyDescent="0.2">
      <c r="A97" s="316">
        <v>2</v>
      </c>
      <c r="B97" s="39" t="s">
        <v>127</v>
      </c>
      <c r="C97" s="39"/>
      <c r="D97" s="39"/>
      <c r="E97" s="39"/>
      <c r="F97" s="39"/>
      <c r="G97" s="39"/>
      <c r="H97" s="39"/>
      <c r="I97" s="319"/>
      <c r="J97" s="316"/>
      <c r="K97" s="39"/>
      <c r="L97" s="39"/>
      <c r="M97" s="39"/>
      <c r="N97" s="39"/>
      <c r="O97" s="39"/>
      <c r="P97" s="39"/>
    </row>
    <row r="98" spans="1:16" x14ac:dyDescent="0.2">
      <c r="A98" s="464" t="s">
        <v>128</v>
      </c>
      <c r="B98" s="465"/>
      <c r="C98" s="465"/>
      <c r="D98" s="465"/>
      <c r="E98" s="465"/>
      <c r="F98" s="465"/>
      <c r="G98" s="465"/>
      <c r="H98" s="465"/>
      <c r="I98" s="297" t="s">
        <v>71</v>
      </c>
      <c r="J98" s="464"/>
      <c r="K98" s="465"/>
      <c r="L98" s="465"/>
      <c r="M98" s="465"/>
      <c r="N98" s="465"/>
      <c r="O98" s="465"/>
      <c r="P98" s="465"/>
    </row>
    <row r="99" spans="1:16" x14ac:dyDescent="0.2">
      <c r="A99" s="296" t="s">
        <v>84</v>
      </c>
      <c r="B99" s="486" t="s">
        <v>129</v>
      </c>
      <c r="C99" s="486"/>
      <c r="D99" s="486"/>
      <c r="E99" s="486"/>
      <c r="F99" s="486"/>
      <c r="G99" s="486"/>
      <c r="H99" s="486"/>
      <c r="I99" s="82">
        <f>I56</f>
        <v>426.19720471466667</v>
      </c>
      <c r="J99" s="296"/>
      <c r="K99" s="486"/>
      <c r="L99" s="486"/>
      <c r="M99" s="486"/>
      <c r="N99" s="486"/>
      <c r="O99" s="486"/>
      <c r="P99" s="486"/>
    </row>
    <row r="100" spans="1:16" x14ac:dyDescent="0.2">
      <c r="A100" s="296" t="s">
        <v>96</v>
      </c>
      <c r="B100" s="486" t="s">
        <v>130</v>
      </c>
      <c r="C100" s="486"/>
      <c r="D100" s="486"/>
      <c r="E100" s="486"/>
      <c r="F100" s="486"/>
      <c r="G100" s="486"/>
      <c r="H100" s="486"/>
      <c r="I100" s="82">
        <f>I75</f>
        <v>561.11536000000001</v>
      </c>
      <c r="J100" s="296"/>
      <c r="K100" s="486"/>
      <c r="L100" s="486"/>
      <c r="M100" s="486"/>
      <c r="N100" s="486"/>
      <c r="O100" s="486"/>
      <c r="P100" s="486"/>
    </row>
    <row r="101" spans="1:16" x14ac:dyDescent="0.2">
      <c r="A101" s="296" t="s">
        <v>113</v>
      </c>
      <c r="B101" s="486" t="s">
        <v>131</v>
      </c>
      <c r="C101" s="486"/>
      <c r="D101" s="486"/>
      <c r="E101" s="486"/>
      <c r="F101" s="486"/>
      <c r="G101" s="486"/>
      <c r="H101" s="486"/>
      <c r="I101" s="82">
        <f>I90</f>
        <v>686.11380000000008</v>
      </c>
      <c r="J101" s="296"/>
      <c r="K101" s="486"/>
      <c r="L101" s="486"/>
      <c r="M101" s="486"/>
      <c r="N101" s="486"/>
      <c r="O101" s="486"/>
      <c r="P101" s="486"/>
    </row>
    <row r="102" spans="1:16" x14ac:dyDescent="0.2">
      <c r="A102" s="475" t="s">
        <v>132</v>
      </c>
      <c r="B102" s="487"/>
      <c r="C102" s="487"/>
      <c r="D102" s="487"/>
      <c r="E102" s="487"/>
      <c r="F102" s="487"/>
      <c r="G102" s="487"/>
      <c r="H102" s="487"/>
      <c r="I102" s="320">
        <f>SUM(I99:I101)</f>
        <v>1673.4263647146668</v>
      </c>
      <c r="J102" s="475"/>
      <c r="K102" s="487"/>
      <c r="L102" s="487"/>
      <c r="M102" s="487"/>
      <c r="N102" s="487"/>
      <c r="O102" s="487"/>
      <c r="P102" s="487"/>
    </row>
    <row r="103" spans="1:16" x14ac:dyDescent="0.2">
      <c r="A103" s="488"/>
      <c r="B103" s="489"/>
      <c r="C103" s="489"/>
      <c r="D103" s="489"/>
      <c r="E103" s="489"/>
      <c r="F103" s="489"/>
      <c r="G103" s="489"/>
      <c r="H103" s="489"/>
      <c r="I103" s="490"/>
      <c r="J103" s="488"/>
      <c r="K103" s="489"/>
      <c r="L103" s="489"/>
      <c r="M103" s="489"/>
      <c r="N103" s="489"/>
      <c r="O103" s="489"/>
      <c r="P103" s="489"/>
    </row>
    <row r="104" spans="1:16" ht="13.5" customHeight="1" x14ac:dyDescent="0.2">
      <c r="A104" s="469" t="s">
        <v>133</v>
      </c>
      <c r="B104" s="470"/>
      <c r="C104" s="470"/>
      <c r="D104" s="470"/>
      <c r="E104" s="470"/>
      <c r="F104" s="470"/>
      <c r="G104" s="470"/>
      <c r="H104" s="470"/>
      <c r="I104" s="471"/>
      <c r="J104" s="469"/>
      <c r="K104" s="470"/>
      <c r="L104" s="470"/>
      <c r="M104" s="470"/>
      <c r="N104" s="470"/>
      <c r="O104" s="470"/>
      <c r="P104" s="470"/>
    </row>
    <row r="105" spans="1:16" ht="14.1" customHeight="1" x14ac:dyDescent="0.2">
      <c r="A105" s="296">
        <v>3</v>
      </c>
      <c r="B105" s="465" t="s">
        <v>134</v>
      </c>
      <c r="C105" s="465"/>
      <c r="D105" s="465"/>
      <c r="E105" s="465"/>
      <c r="F105" s="465"/>
      <c r="G105" s="465"/>
      <c r="H105" s="8" t="s">
        <v>70</v>
      </c>
      <c r="I105" s="297" t="s">
        <v>71</v>
      </c>
      <c r="J105" s="296"/>
      <c r="K105" s="465"/>
      <c r="L105" s="465"/>
      <c r="M105" s="465"/>
      <c r="N105" s="465"/>
      <c r="O105" s="465"/>
      <c r="P105" s="465"/>
    </row>
    <row r="106" spans="1:16" x14ac:dyDescent="0.2">
      <c r="A106" s="296" t="s">
        <v>37</v>
      </c>
      <c r="B106" s="454" t="s">
        <v>135</v>
      </c>
      <c r="C106" s="454"/>
      <c r="D106" s="454"/>
      <c r="E106" s="454"/>
      <c r="F106" s="454"/>
      <c r="G106" s="454"/>
      <c r="H106" s="1">
        <v>4.1999999999999997E-3</v>
      </c>
      <c r="I106" s="82">
        <f>H106*I45</f>
        <v>6.4040339999999993</v>
      </c>
      <c r="J106" s="296"/>
      <c r="K106" s="454"/>
      <c r="L106" s="454"/>
      <c r="M106" s="454"/>
      <c r="N106" s="454"/>
      <c r="O106" s="454"/>
      <c r="P106" s="454"/>
    </row>
    <row r="107" spans="1:16" x14ac:dyDescent="0.2">
      <c r="A107" s="313" t="s">
        <v>39</v>
      </c>
      <c r="B107" s="479" t="s">
        <v>136</v>
      </c>
      <c r="C107" s="479"/>
      <c r="D107" s="479"/>
      <c r="E107" s="479"/>
      <c r="F107" s="479"/>
      <c r="G107" s="479"/>
      <c r="H107" s="149">
        <f>H74</f>
        <v>0.08</v>
      </c>
      <c r="I107" s="83">
        <f>I106*H107</f>
        <v>0.51232272000000001</v>
      </c>
      <c r="J107" s="313"/>
      <c r="K107" s="479"/>
      <c r="L107" s="479"/>
      <c r="M107" s="479"/>
      <c r="N107" s="479"/>
      <c r="O107" s="479"/>
      <c r="P107" s="479"/>
    </row>
    <row r="108" spans="1:16" ht="24.75" customHeight="1" x14ac:dyDescent="0.2">
      <c r="A108" s="313" t="s">
        <v>41</v>
      </c>
      <c r="B108" s="479" t="s">
        <v>137</v>
      </c>
      <c r="C108" s="479"/>
      <c r="D108" s="479"/>
      <c r="E108" s="479"/>
      <c r="F108" s="479"/>
      <c r="G108" s="479"/>
      <c r="H108" s="149">
        <v>2E-3</v>
      </c>
      <c r="I108" s="83">
        <f>H108*I45</f>
        <v>3.0495399999999999</v>
      </c>
      <c r="J108" s="313"/>
      <c r="K108" s="479"/>
      <c r="L108" s="479"/>
      <c r="M108" s="479"/>
      <c r="N108" s="479"/>
      <c r="O108" s="479"/>
      <c r="P108" s="479"/>
    </row>
    <row r="109" spans="1:16" x14ac:dyDescent="0.2">
      <c r="A109" s="296" t="s">
        <v>44</v>
      </c>
      <c r="B109" s="454" t="s">
        <v>138</v>
      </c>
      <c r="C109" s="454"/>
      <c r="D109" s="454"/>
      <c r="E109" s="454"/>
      <c r="F109" s="454"/>
      <c r="G109" s="454"/>
      <c r="H109" s="1">
        <v>1.9400000000000001E-2</v>
      </c>
      <c r="I109" s="82">
        <f>H109*I45</f>
        <v>29.580538000000001</v>
      </c>
      <c r="J109" s="296"/>
      <c r="K109" s="454"/>
      <c r="L109" s="454"/>
      <c r="M109" s="454"/>
      <c r="N109" s="454"/>
      <c r="O109" s="454"/>
      <c r="P109" s="454"/>
    </row>
    <row r="110" spans="1:16" x14ac:dyDescent="0.2">
      <c r="A110" s="296" t="s">
        <v>76</v>
      </c>
      <c r="B110" s="491" t="s">
        <v>139</v>
      </c>
      <c r="C110" s="491"/>
      <c r="D110" s="491"/>
      <c r="E110" s="491"/>
      <c r="F110" s="491"/>
      <c r="G110" s="491"/>
      <c r="H110" s="22">
        <f>H75</f>
        <v>0.36800000000000005</v>
      </c>
      <c r="I110" s="82">
        <f>I109*H110</f>
        <v>10.885637984000002</v>
      </c>
      <c r="J110" s="296"/>
      <c r="K110" s="491"/>
      <c r="L110" s="491"/>
      <c r="M110" s="491"/>
      <c r="N110" s="491"/>
      <c r="O110" s="491"/>
      <c r="P110" s="491"/>
    </row>
    <row r="111" spans="1:16" ht="25.5" customHeight="1" x14ac:dyDescent="0.2">
      <c r="A111" s="313" t="s">
        <v>78</v>
      </c>
      <c r="B111" s="479" t="s">
        <v>140</v>
      </c>
      <c r="C111" s="479"/>
      <c r="D111" s="479"/>
      <c r="E111" s="479"/>
      <c r="F111" s="479"/>
      <c r="G111" s="479"/>
      <c r="H111" s="149">
        <v>3.7999999999999999E-2</v>
      </c>
      <c r="I111" s="83">
        <f>H111*I45</f>
        <v>57.94126</v>
      </c>
      <c r="J111" s="313"/>
      <c r="K111" s="479"/>
      <c r="L111" s="479"/>
      <c r="M111" s="479"/>
      <c r="N111" s="479"/>
      <c r="O111" s="479"/>
      <c r="P111" s="479"/>
    </row>
    <row r="112" spans="1:16" x14ac:dyDescent="0.2">
      <c r="A112" s="475" t="s">
        <v>141</v>
      </c>
      <c r="B112" s="487"/>
      <c r="C112" s="487"/>
      <c r="D112" s="487"/>
      <c r="E112" s="487"/>
      <c r="F112" s="487"/>
      <c r="G112" s="487"/>
      <c r="H112" s="33"/>
      <c r="I112" s="320">
        <f>SUM(I106:I111)</f>
        <v>108.37333270400001</v>
      </c>
      <c r="J112" s="475"/>
      <c r="K112" s="487"/>
      <c r="L112" s="487"/>
      <c r="M112" s="487"/>
      <c r="N112" s="487"/>
      <c r="O112" s="487"/>
      <c r="P112" s="487"/>
    </row>
    <row r="113" spans="1:17" x14ac:dyDescent="0.2">
      <c r="A113" s="492"/>
      <c r="B113" s="493"/>
      <c r="C113" s="493"/>
      <c r="D113" s="493"/>
      <c r="E113" s="493"/>
      <c r="F113" s="493"/>
      <c r="G113" s="493"/>
      <c r="H113" s="493"/>
      <c r="I113" s="494"/>
      <c r="J113" s="492"/>
      <c r="K113" s="493"/>
      <c r="L113" s="493"/>
      <c r="M113" s="493"/>
      <c r="N113" s="493"/>
      <c r="O113" s="493"/>
      <c r="P113" s="493"/>
    </row>
    <row r="114" spans="1:17" x14ac:dyDescent="0.2">
      <c r="A114" s="469" t="s">
        <v>142</v>
      </c>
      <c r="B114" s="470"/>
      <c r="C114" s="470"/>
      <c r="D114" s="470"/>
      <c r="E114" s="470"/>
      <c r="F114" s="470"/>
      <c r="G114" s="470"/>
      <c r="H114" s="470"/>
      <c r="I114" s="471"/>
      <c r="J114" s="469"/>
      <c r="K114" s="470"/>
      <c r="L114" s="470"/>
      <c r="M114" s="470"/>
      <c r="N114" s="470"/>
      <c r="O114" s="470"/>
      <c r="P114" s="470"/>
    </row>
    <row r="115" spans="1:17" x14ac:dyDescent="0.2">
      <c r="A115" s="312"/>
      <c r="B115" s="3"/>
      <c r="C115" s="3"/>
      <c r="D115" s="3"/>
      <c r="E115" s="3"/>
      <c r="F115" s="3"/>
      <c r="G115" s="3"/>
      <c r="H115" s="3"/>
      <c r="I115" s="321"/>
      <c r="J115" s="312"/>
      <c r="K115" s="3"/>
      <c r="L115" s="3"/>
      <c r="M115" s="3"/>
      <c r="N115" s="3"/>
      <c r="O115" s="3"/>
      <c r="P115" s="3"/>
    </row>
    <row r="116" spans="1:17" x14ac:dyDescent="0.2">
      <c r="A116" s="300" t="s">
        <v>143</v>
      </c>
      <c r="B116" s="3"/>
      <c r="C116" s="3"/>
      <c r="D116" s="3"/>
      <c r="E116" s="3"/>
      <c r="F116" s="3"/>
      <c r="G116" s="3"/>
      <c r="H116" s="3"/>
      <c r="I116" s="321"/>
      <c r="J116" s="300"/>
      <c r="K116" s="3"/>
      <c r="L116" s="3"/>
      <c r="M116" s="3"/>
      <c r="N116" s="3"/>
      <c r="O116" s="3"/>
      <c r="P116" s="3"/>
    </row>
    <row r="117" spans="1:17" x14ac:dyDescent="0.2">
      <c r="A117" s="300" t="s">
        <v>144</v>
      </c>
      <c r="B117" s="3"/>
      <c r="C117" s="3"/>
      <c r="D117" s="3"/>
      <c r="E117" s="3"/>
      <c r="F117" s="3"/>
      <c r="G117" s="3"/>
      <c r="H117" s="3"/>
      <c r="I117" s="321"/>
      <c r="J117" s="300"/>
      <c r="K117" s="3"/>
      <c r="L117" s="3"/>
      <c r="M117" s="3"/>
      <c r="N117" s="3"/>
      <c r="O117" s="3"/>
      <c r="P117" s="3"/>
    </row>
    <row r="118" spans="1:17" x14ac:dyDescent="0.2">
      <c r="A118" s="312"/>
      <c r="B118" s="3"/>
      <c r="C118" s="3"/>
      <c r="D118" s="3"/>
      <c r="E118" s="3"/>
      <c r="F118" s="3"/>
      <c r="G118" s="3"/>
      <c r="H118" s="3"/>
      <c r="I118" s="321"/>
      <c r="J118" s="312"/>
      <c r="K118" s="3"/>
      <c r="L118" s="3"/>
      <c r="M118" s="3"/>
      <c r="N118" s="3"/>
      <c r="O118" s="3"/>
      <c r="P118" s="3"/>
    </row>
    <row r="119" spans="1:17" x14ac:dyDescent="0.2">
      <c r="A119" s="316" t="s">
        <v>145</v>
      </c>
      <c r="B119" s="457" t="s">
        <v>146</v>
      </c>
      <c r="C119" s="457"/>
      <c r="D119" s="457"/>
      <c r="E119" s="457"/>
      <c r="F119" s="457"/>
      <c r="G119" s="457"/>
      <c r="H119" s="26" t="s">
        <v>70</v>
      </c>
      <c r="I119" s="291" t="s">
        <v>71</v>
      </c>
      <c r="J119" s="316"/>
      <c r="K119" s="457"/>
      <c r="L119" s="457"/>
      <c r="M119" s="457"/>
      <c r="N119" s="457"/>
      <c r="O119" s="457"/>
      <c r="P119" s="457"/>
    </row>
    <row r="120" spans="1:17" ht="14.1" customHeight="1" x14ac:dyDescent="0.2">
      <c r="A120" s="316" t="s">
        <v>37</v>
      </c>
      <c r="B120" s="454" t="s">
        <v>147</v>
      </c>
      <c r="C120" s="454"/>
      <c r="D120" s="454"/>
      <c r="E120" s="454"/>
      <c r="F120" s="454"/>
      <c r="G120" s="454"/>
      <c r="H120" s="34"/>
      <c r="I120" s="314"/>
      <c r="J120" s="316"/>
      <c r="K120" s="454"/>
      <c r="L120" s="454"/>
      <c r="M120" s="454"/>
      <c r="N120" s="454"/>
      <c r="O120" s="454"/>
      <c r="P120" s="454"/>
    </row>
    <row r="121" spans="1:17" x14ac:dyDescent="0.2">
      <c r="A121" s="296" t="s">
        <v>39</v>
      </c>
      <c r="B121" s="454" t="s">
        <v>148</v>
      </c>
      <c r="C121" s="454"/>
      <c r="D121" s="454"/>
      <c r="E121" s="454"/>
      <c r="F121" s="454"/>
      <c r="G121" s="454"/>
      <c r="H121" s="157">
        <v>1.67E-2</v>
      </c>
      <c r="I121" s="82">
        <f>H121*$I$45</f>
        <v>25.463659</v>
      </c>
      <c r="J121" s="296"/>
      <c r="K121" s="454"/>
      <c r="L121" s="454"/>
      <c r="M121" s="454"/>
      <c r="N121" s="454"/>
      <c r="O121" s="454"/>
      <c r="P121" s="454"/>
      <c r="Q121" s="25"/>
    </row>
    <row r="122" spans="1:17" x14ac:dyDescent="0.2">
      <c r="A122" s="296" t="s">
        <v>41</v>
      </c>
      <c r="B122" s="454" t="s">
        <v>149</v>
      </c>
      <c r="C122" s="454"/>
      <c r="D122" s="454"/>
      <c r="E122" s="454"/>
      <c r="F122" s="454"/>
      <c r="G122" s="454"/>
      <c r="H122" s="157">
        <v>2.0000000000000001E-4</v>
      </c>
      <c r="I122" s="82">
        <f>H122*$I$45</f>
        <v>0.304954</v>
      </c>
      <c r="J122" s="296"/>
      <c r="K122" s="454"/>
      <c r="L122" s="454"/>
      <c r="M122" s="454"/>
      <c r="N122" s="454"/>
      <c r="O122" s="454"/>
      <c r="P122" s="454"/>
      <c r="Q122" s="25"/>
    </row>
    <row r="123" spans="1:17" x14ac:dyDescent="0.2">
      <c r="A123" s="313" t="s">
        <v>44</v>
      </c>
      <c r="B123" s="479" t="s">
        <v>150</v>
      </c>
      <c r="C123" s="479"/>
      <c r="D123" s="479"/>
      <c r="E123" s="479"/>
      <c r="F123" s="479"/>
      <c r="G123" s="479"/>
      <c r="H123" s="149">
        <v>6.9999999999999999E-4</v>
      </c>
      <c r="I123" s="83">
        <f>H123*$I$45</f>
        <v>1.067339</v>
      </c>
      <c r="J123" s="313"/>
      <c r="K123" s="479"/>
      <c r="L123" s="479"/>
      <c r="M123" s="479"/>
      <c r="N123" s="479"/>
      <c r="O123" s="479"/>
      <c r="P123" s="479"/>
      <c r="Q123" s="25"/>
    </row>
    <row r="124" spans="1:17" x14ac:dyDescent="0.2">
      <c r="A124" s="296" t="s">
        <v>76</v>
      </c>
      <c r="B124" s="454" t="s">
        <v>151</v>
      </c>
      <c r="C124" s="454"/>
      <c r="D124" s="454"/>
      <c r="E124" s="454"/>
      <c r="F124" s="454"/>
      <c r="G124" s="454"/>
      <c r="H124" s="157">
        <v>2.8999999999999998E-3</v>
      </c>
      <c r="I124" s="82">
        <f>H124*$I$45</f>
        <v>4.4218329999999995</v>
      </c>
      <c r="J124" s="296"/>
      <c r="K124" s="454"/>
      <c r="L124" s="454"/>
      <c r="M124" s="454"/>
      <c r="N124" s="454"/>
      <c r="O124" s="454"/>
      <c r="P124" s="454"/>
      <c r="Q124" s="25"/>
    </row>
    <row r="125" spans="1:17" x14ac:dyDescent="0.2">
      <c r="A125" s="296" t="s">
        <v>78</v>
      </c>
      <c r="B125" s="454" t="s">
        <v>152</v>
      </c>
      <c r="C125" s="454"/>
      <c r="D125" s="454"/>
      <c r="E125" s="454"/>
      <c r="F125" s="454"/>
      <c r="G125" s="454"/>
      <c r="H125" s="157"/>
      <c r="I125" s="82">
        <f t="shared" ref="I125" si="1">H125*$I$45</f>
        <v>0</v>
      </c>
      <c r="J125" s="296"/>
      <c r="K125" s="454"/>
      <c r="L125" s="454"/>
      <c r="M125" s="454"/>
      <c r="N125" s="454"/>
      <c r="O125" s="454"/>
      <c r="P125" s="454"/>
      <c r="Q125" s="25"/>
    </row>
    <row r="126" spans="1:17" x14ac:dyDescent="0.2">
      <c r="A126" s="456" t="s">
        <v>153</v>
      </c>
      <c r="B126" s="457"/>
      <c r="C126" s="457"/>
      <c r="D126" s="457"/>
      <c r="E126" s="457"/>
      <c r="F126" s="457"/>
      <c r="G126" s="457"/>
      <c r="H126" s="33"/>
      <c r="I126" s="314">
        <f>SUM(I121:I125)</f>
        <v>31.257784999999998</v>
      </c>
      <c r="J126" s="456"/>
      <c r="K126" s="457"/>
      <c r="L126" s="457"/>
      <c r="M126" s="457"/>
      <c r="N126" s="457"/>
      <c r="O126" s="457"/>
      <c r="P126" s="457"/>
      <c r="Q126" s="25"/>
    </row>
    <row r="127" spans="1:17" x14ac:dyDescent="0.2">
      <c r="A127" s="296" t="s">
        <v>78</v>
      </c>
      <c r="B127" s="454" t="s">
        <v>154</v>
      </c>
      <c r="C127" s="454"/>
      <c r="D127" s="454"/>
      <c r="E127" s="454"/>
      <c r="F127" s="454"/>
      <c r="G127" s="454"/>
      <c r="H127" s="1">
        <f>H75</f>
        <v>0.36800000000000005</v>
      </c>
      <c r="I127" s="82">
        <f>I126*H127</f>
        <v>11.502864880000001</v>
      </c>
      <c r="J127" s="296"/>
      <c r="K127" s="454"/>
      <c r="L127" s="454"/>
      <c r="M127" s="454"/>
      <c r="N127" s="454"/>
      <c r="O127" s="454"/>
      <c r="P127" s="454"/>
    </row>
    <row r="128" spans="1:17" x14ac:dyDescent="0.2">
      <c r="A128" s="456" t="s">
        <v>155</v>
      </c>
      <c r="B128" s="457"/>
      <c r="C128" s="457"/>
      <c r="D128" s="457"/>
      <c r="E128" s="457"/>
      <c r="F128" s="457"/>
      <c r="G128" s="457"/>
      <c r="H128" s="33"/>
      <c r="I128" s="314">
        <f>SUM(I126:I127)</f>
        <v>42.760649880000003</v>
      </c>
      <c r="J128" s="456"/>
      <c r="K128" s="457"/>
      <c r="L128" s="457"/>
      <c r="M128" s="457"/>
      <c r="N128" s="457"/>
      <c r="O128" s="457"/>
      <c r="P128" s="457"/>
    </row>
    <row r="129" spans="1:16" x14ac:dyDescent="0.2">
      <c r="A129" s="312"/>
      <c r="B129" s="3"/>
      <c r="C129" s="3"/>
      <c r="D129" s="3"/>
      <c r="E129" s="3"/>
      <c r="F129" s="3"/>
      <c r="G129" s="3"/>
      <c r="H129" s="3"/>
      <c r="I129" s="321"/>
      <c r="J129" s="312"/>
      <c r="K129" s="3"/>
      <c r="L129" s="3"/>
      <c r="M129" s="3"/>
      <c r="N129" s="3"/>
      <c r="O129" s="3"/>
      <c r="P129" s="3"/>
    </row>
    <row r="130" spans="1:16" x14ac:dyDescent="0.2">
      <c r="A130" s="316" t="s">
        <v>156</v>
      </c>
      <c r="B130" s="483" t="s">
        <v>157</v>
      </c>
      <c r="C130" s="484"/>
      <c r="D130" s="484"/>
      <c r="E130" s="484"/>
      <c r="F130" s="484"/>
      <c r="G130" s="485"/>
      <c r="H130" s="26" t="s">
        <v>70</v>
      </c>
      <c r="I130" s="291" t="s">
        <v>71</v>
      </c>
      <c r="J130" s="316"/>
      <c r="K130" s="483"/>
      <c r="L130" s="484"/>
      <c r="M130" s="484"/>
      <c r="N130" s="484"/>
      <c r="O130" s="484"/>
      <c r="P130" s="485"/>
    </row>
    <row r="131" spans="1:16" x14ac:dyDescent="0.2">
      <c r="A131" s="296" t="s">
        <v>37</v>
      </c>
      <c r="B131" s="501" t="s">
        <v>158</v>
      </c>
      <c r="C131" s="502"/>
      <c r="D131" s="502"/>
      <c r="E131" s="502"/>
      <c r="F131" s="502"/>
      <c r="G131" s="503"/>
      <c r="H131" s="157">
        <v>0</v>
      </c>
      <c r="I131" s="82">
        <v>0</v>
      </c>
      <c r="J131" s="296"/>
      <c r="K131" s="501"/>
      <c r="L131" s="502"/>
      <c r="M131" s="502"/>
      <c r="N131" s="502"/>
      <c r="O131" s="502"/>
      <c r="P131" s="503"/>
    </row>
    <row r="132" spans="1:16" x14ac:dyDescent="0.2">
      <c r="A132" s="504" t="s">
        <v>159</v>
      </c>
      <c r="B132" s="484"/>
      <c r="C132" s="484"/>
      <c r="D132" s="484"/>
      <c r="E132" s="484"/>
      <c r="F132" s="484"/>
      <c r="G132" s="485"/>
      <c r="H132" s="33">
        <f>TRUNC(SUM(H131),4)</f>
        <v>0</v>
      </c>
      <c r="I132" s="314">
        <f>SUM(I131)</f>
        <v>0</v>
      </c>
      <c r="J132" s="504"/>
      <c r="K132" s="484"/>
      <c r="L132" s="484"/>
      <c r="M132" s="484"/>
      <c r="N132" s="484"/>
      <c r="O132" s="484"/>
      <c r="P132" s="485"/>
    </row>
    <row r="133" spans="1:16" x14ac:dyDescent="0.2">
      <c r="A133" s="42"/>
      <c r="B133" s="36"/>
      <c r="C133" s="36"/>
      <c r="D133" s="36"/>
      <c r="E133" s="36"/>
      <c r="F133" s="36"/>
      <c r="G133" s="36"/>
      <c r="H133" s="36"/>
      <c r="I133" s="315"/>
      <c r="J133" s="42"/>
      <c r="K133" s="36"/>
      <c r="L133" s="36"/>
      <c r="M133" s="36"/>
      <c r="N133" s="36"/>
      <c r="O133" s="36"/>
      <c r="P133" s="36"/>
    </row>
    <row r="134" spans="1:16" x14ac:dyDescent="0.2">
      <c r="A134" s="456" t="s">
        <v>160</v>
      </c>
      <c r="B134" s="457"/>
      <c r="C134" s="457"/>
      <c r="D134" s="457"/>
      <c r="E134" s="457"/>
      <c r="F134" s="457"/>
      <c r="G134" s="457"/>
      <c r="H134" s="457"/>
      <c r="I134" s="458"/>
      <c r="J134" s="456"/>
      <c r="K134" s="457"/>
      <c r="L134" s="457"/>
      <c r="M134" s="457"/>
      <c r="N134" s="457"/>
      <c r="O134" s="457"/>
      <c r="P134" s="457"/>
    </row>
    <row r="135" spans="1:16" x14ac:dyDescent="0.2">
      <c r="A135" s="313">
        <v>4</v>
      </c>
      <c r="B135" s="495" t="s">
        <v>161</v>
      </c>
      <c r="C135" s="496"/>
      <c r="D135" s="496"/>
      <c r="E135" s="496"/>
      <c r="F135" s="496"/>
      <c r="G135" s="497"/>
      <c r="H135" s="37"/>
      <c r="I135" s="297" t="s">
        <v>71</v>
      </c>
      <c r="J135" s="313"/>
      <c r="K135" s="495"/>
      <c r="L135" s="496"/>
      <c r="M135" s="496"/>
      <c r="N135" s="496"/>
      <c r="O135" s="496"/>
      <c r="P135" s="497"/>
    </row>
    <row r="136" spans="1:16" x14ac:dyDescent="0.2">
      <c r="A136" s="296" t="s">
        <v>145</v>
      </c>
      <c r="B136" s="498" t="s">
        <v>162</v>
      </c>
      <c r="C136" s="499"/>
      <c r="D136" s="499"/>
      <c r="E136" s="499"/>
      <c r="F136" s="499"/>
      <c r="G136" s="500"/>
      <c r="H136" s="20"/>
      <c r="I136" s="82">
        <f>I128</f>
        <v>42.760649880000003</v>
      </c>
      <c r="J136" s="296"/>
      <c r="K136" s="498"/>
      <c r="L136" s="499"/>
      <c r="M136" s="499"/>
      <c r="N136" s="499"/>
      <c r="O136" s="499"/>
      <c r="P136" s="500"/>
    </row>
    <row r="137" spans="1:16" x14ac:dyDescent="0.2">
      <c r="A137" s="296" t="s">
        <v>156</v>
      </c>
      <c r="B137" s="498" t="s">
        <v>163</v>
      </c>
      <c r="C137" s="499"/>
      <c r="D137" s="499"/>
      <c r="E137" s="499"/>
      <c r="F137" s="499"/>
      <c r="G137" s="500"/>
      <c r="H137" s="20"/>
      <c r="I137" s="82">
        <f>I132</f>
        <v>0</v>
      </c>
      <c r="J137" s="296"/>
      <c r="K137" s="498"/>
      <c r="L137" s="499"/>
      <c r="M137" s="499"/>
      <c r="N137" s="499"/>
      <c r="O137" s="499"/>
      <c r="P137" s="500"/>
    </row>
    <row r="138" spans="1:16" x14ac:dyDescent="0.2">
      <c r="A138" s="475" t="s">
        <v>164</v>
      </c>
      <c r="B138" s="487"/>
      <c r="C138" s="487"/>
      <c r="D138" s="487"/>
      <c r="E138" s="487"/>
      <c r="F138" s="487"/>
      <c r="G138" s="487"/>
      <c r="H138" s="487"/>
      <c r="I138" s="320">
        <f>SUM(I136:I137)</f>
        <v>42.760649880000003</v>
      </c>
      <c r="J138" s="475"/>
      <c r="K138" s="487"/>
      <c r="L138" s="487"/>
      <c r="M138" s="487"/>
      <c r="N138" s="487"/>
      <c r="O138" s="487"/>
      <c r="P138" s="487"/>
    </row>
    <row r="139" spans="1:16" x14ac:dyDescent="0.2">
      <c r="A139" s="488"/>
      <c r="B139" s="489"/>
      <c r="C139" s="489"/>
      <c r="D139" s="489"/>
      <c r="E139" s="489"/>
      <c r="F139" s="489"/>
      <c r="G139" s="489"/>
      <c r="H139" s="489"/>
      <c r="I139" s="490"/>
      <c r="J139" s="488"/>
      <c r="K139" s="489"/>
      <c r="L139" s="489"/>
      <c r="M139" s="489"/>
      <c r="N139" s="489"/>
      <c r="O139" s="489"/>
      <c r="P139" s="489"/>
    </row>
    <row r="140" spans="1:16" x14ac:dyDescent="0.2">
      <c r="A140" s="469" t="s">
        <v>165</v>
      </c>
      <c r="B140" s="470"/>
      <c r="C140" s="470"/>
      <c r="D140" s="470"/>
      <c r="E140" s="470"/>
      <c r="F140" s="470"/>
      <c r="G140" s="470"/>
      <c r="H140" s="470"/>
      <c r="I140" s="471"/>
      <c r="J140" s="469"/>
      <c r="K140" s="470"/>
      <c r="L140" s="470"/>
      <c r="M140" s="470"/>
      <c r="N140" s="470"/>
      <c r="O140" s="470"/>
      <c r="P140" s="470"/>
    </row>
    <row r="141" spans="1:16" x14ac:dyDescent="0.2">
      <c r="A141" s="296">
        <v>5</v>
      </c>
      <c r="B141" s="465" t="s">
        <v>166</v>
      </c>
      <c r="C141" s="465"/>
      <c r="D141" s="465"/>
      <c r="E141" s="465"/>
      <c r="F141" s="465"/>
      <c r="G141" s="465"/>
      <c r="H141" s="8"/>
      <c r="I141" s="297" t="s">
        <v>71</v>
      </c>
      <c r="J141" s="296"/>
      <c r="K141" s="465"/>
      <c r="L141" s="465"/>
      <c r="M141" s="465"/>
      <c r="N141" s="465"/>
      <c r="O141" s="465"/>
      <c r="P141" s="465"/>
    </row>
    <row r="142" spans="1:16" x14ac:dyDescent="0.2">
      <c r="A142" s="296" t="s">
        <v>37</v>
      </c>
      <c r="B142" s="480" t="s">
        <v>167</v>
      </c>
      <c r="C142" s="480"/>
      <c r="D142" s="480"/>
      <c r="E142" s="480"/>
      <c r="F142" s="480"/>
      <c r="G142" s="480"/>
      <c r="H142" s="21" t="s">
        <v>116</v>
      </c>
      <c r="I142" s="82">
        <f>'Uniform&amp;EPIs '!K24</f>
        <v>40.434166666666663</v>
      </c>
      <c r="J142" s="296"/>
      <c r="K142" s="480"/>
      <c r="L142" s="480"/>
      <c r="M142" s="480"/>
      <c r="N142" s="480"/>
      <c r="O142" s="480"/>
      <c r="P142" s="480"/>
    </row>
    <row r="143" spans="1:16" x14ac:dyDescent="0.2">
      <c r="A143" s="296" t="s">
        <v>39</v>
      </c>
      <c r="B143" s="480" t="s">
        <v>168</v>
      </c>
      <c r="C143" s="480"/>
      <c r="D143" s="480"/>
      <c r="E143" s="480"/>
      <c r="F143" s="480"/>
      <c r="G143" s="480"/>
      <c r="H143" s="21" t="s">
        <v>116</v>
      </c>
      <c r="I143" s="82">
        <v>0</v>
      </c>
      <c r="J143" s="296"/>
      <c r="K143" s="480"/>
      <c r="L143" s="480"/>
      <c r="M143" s="480"/>
      <c r="N143" s="480"/>
      <c r="O143" s="480"/>
      <c r="P143" s="480"/>
    </row>
    <row r="144" spans="1:16" x14ac:dyDescent="0.2">
      <c r="A144" s="322" t="s">
        <v>41</v>
      </c>
      <c r="B144" s="480" t="s">
        <v>169</v>
      </c>
      <c r="C144" s="480"/>
      <c r="D144" s="480"/>
      <c r="E144" s="480"/>
      <c r="F144" s="480"/>
      <c r="G144" s="480"/>
      <c r="H144" s="21" t="s">
        <v>116</v>
      </c>
      <c r="I144" s="82">
        <v>0</v>
      </c>
      <c r="J144" s="322"/>
      <c r="K144" s="480"/>
      <c r="L144" s="480"/>
      <c r="M144" s="480"/>
      <c r="N144" s="480"/>
      <c r="O144" s="480"/>
      <c r="P144" s="480"/>
    </row>
    <row r="145" spans="1:17" x14ac:dyDescent="0.2">
      <c r="A145" s="322" t="s">
        <v>44</v>
      </c>
      <c r="B145" s="480" t="s">
        <v>79</v>
      </c>
      <c r="C145" s="480"/>
      <c r="D145" s="480"/>
      <c r="E145" s="480"/>
      <c r="F145" s="480"/>
      <c r="G145" s="480"/>
      <c r="H145" s="21" t="s">
        <v>116</v>
      </c>
      <c r="I145" s="82">
        <v>0</v>
      </c>
      <c r="J145" s="322"/>
      <c r="K145" s="480"/>
      <c r="L145" s="480"/>
      <c r="M145" s="480"/>
      <c r="N145" s="480"/>
      <c r="O145" s="480"/>
      <c r="P145" s="480"/>
    </row>
    <row r="146" spans="1:17" x14ac:dyDescent="0.2">
      <c r="A146" s="475" t="s">
        <v>170</v>
      </c>
      <c r="B146" s="487"/>
      <c r="C146" s="487"/>
      <c r="D146" s="487"/>
      <c r="E146" s="487"/>
      <c r="F146" s="487"/>
      <c r="G146" s="487"/>
      <c r="H146" s="33" t="s">
        <v>116</v>
      </c>
      <c r="I146" s="320">
        <f>SUM(I142:I145)</f>
        <v>40.434166666666663</v>
      </c>
      <c r="J146" s="475"/>
      <c r="K146" s="487"/>
      <c r="L146" s="487"/>
      <c r="M146" s="487"/>
      <c r="N146" s="487"/>
      <c r="O146" s="487"/>
      <c r="P146" s="487"/>
    </row>
    <row r="147" spans="1:17" x14ac:dyDescent="0.2">
      <c r="A147" s="323"/>
      <c r="B147" s="43"/>
      <c r="C147" s="43"/>
      <c r="D147" s="43"/>
      <c r="E147" s="43"/>
      <c r="F147" s="43"/>
      <c r="G147" s="43"/>
      <c r="H147" s="43"/>
      <c r="I147" s="324"/>
      <c r="J147" s="323"/>
      <c r="K147" s="43"/>
      <c r="L147" s="43"/>
      <c r="M147" s="43"/>
      <c r="N147" s="43"/>
      <c r="O147" s="43"/>
      <c r="P147" s="43"/>
    </row>
    <row r="148" spans="1:17" x14ac:dyDescent="0.2">
      <c r="A148" s="300" t="s">
        <v>171</v>
      </c>
      <c r="B148" s="3"/>
      <c r="C148" s="3"/>
      <c r="D148" s="3"/>
      <c r="E148" s="3"/>
      <c r="F148" s="3"/>
      <c r="G148" s="3"/>
      <c r="H148" s="3"/>
      <c r="I148" s="321"/>
      <c r="J148" s="300"/>
      <c r="K148" s="3"/>
      <c r="L148" s="3"/>
      <c r="M148" s="3"/>
      <c r="N148" s="3"/>
      <c r="O148" s="3"/>
      <c r="P148" s="3"/>
    </row>
    <row r="149" spans="1:17" x14ac:dyDescent="0.2">
      <c r="A149" s="325"/>
      <c r="B149" s="3"/>
      <c r="C149" s="3"/>
      <c r="D149" s="3"/>
      <c r="E149" s="3"/>
      <c r="F149" s="3"/>
      <c r="G149" s="3"/>
      <c r="H149" s="3"/>
      <c r="I149" s="321"/>
      <c r="J149" s="325"/>
      <c r="K149" s="3"/>
      <c r="L149" s="3"/>
      <c r="M149" s="3"/>
      <c r="N149" s="3"/>
      <c r="O149" s="3"/>
      <c r="P149" s="3"/>
    </row>
    <row r="150" spans="1:17" x14ac:dyDescent="0.2">
      <c r="A150" s="469" t="s">
        <v>172</v>
      </c>
      <c r="B150" s="470"/>
      <c r="C150" s="470"/>
      <c r="D150" s="470"/>
      <c r="E150" s="470"/>
      <c r="F150" s="470"/>
      <c r="G150" s="470"/>
      <c r="H150" s="470"/>
      <c r="I150" s="471"/>
      <c r="J150" s="469"/>
      <c r="K150" s="470"/>
      <c r="L150" s="470"/>
      <c r="M150" s="470"/>
      <c r="N150" s="470"/>
      <c r="O150" s="470"/>
      <c r="P150" s="470"/>
    </row>
    <row r="151" spans="1:17" x14ac:dyDescent="0.2">
      <c r="A151" s="296">
        <v>6</v>
      </c>
      <c r="B151" s="465" t="s">
        <v>173</v>
      </c>
      <c r="C151" s="465"/>
      <c r="D151" s="465"/>
      <c r="E151" s="465"/>
      <c r="F151" s="465"/>
      <c r="G151" s="465"/>
      <c r="H151" s="8" t="s">
        <v>70</v>
      </c>
      <c r="I151" s="297" t="s">
        <v>71</v>
      </c>
      <c r="J151" s="296"/>
      <c r="K151" s="465"/>
      <c r="L151" s="465"/>
      <c r="M151" s="465"/>
      <c r="N151" s="465"/>
      <c r="O151" s="465"/>
      <c r="P151" s="465"/>
    </row>
    <row r="152" spans="1:17" x14ac:dyDescent="0.2">
      <c r="A152" s="296" t="s">
        <v>37</v>
      </c>
      <c r="B152" s="454" t="s">
        <v>174</v>
      </c>
      <c r="C152" s="454"/>
      <c r="D152" s="454"/>
      <c r="E152" s="454"/>
      <c r="F152" s="454"/>
      <c r="G152" s="454"/>
      <c r="H152" s="24">
        <v>0.05</v>
      </c>
      <c r="I152" s="326">
        <f>H152*I170</f>
        <v>169.48822569826666</v>
      </c>
      <c r="J152" s="296"/>
      <c r="K152" s="454"/>
      <c r="L152" s="454"/>
      <c r="M152" s="454"/>
      <c r="N152" s="454"/>
      <c r="O152" s="454"/>
      <c r="P152" s="454"/>
      <c r="Q152" s="25"/>
    </row>
    <row r="153" spans="1:17" x14ac:dyDescent="0.2">
      <c r="A153" s="296" t="s">
        <v>39</v>
      </c>
      <c r="B153" s="454" t="s">
        <v>175</v>
      </c>
      <c r="C153" s="454"/>
      <c r="D153" s="454"/>
      <c r="E153" s="454"/>
      <c r="F153" s="454"/>
      <c r="G153" s="454"/>
      <c r="H153" s="24">
        <v>0.1</v>
      </c>
      <c r="I153" s="326">
        <f>H153*(I152+I170)</f>
        <v>355.92527396636001</v>
      </c>
      <c r="J153" s="296"/>
      <c r="K153" s="454"/>
      <c r="L153" s="454"/>
      <c r="M153" s="454"/>
      <c r="N153" s="454"/>
      <c r="O153" s="454"/>
      <c r="P153" s="454"/>
      <c r="Q153" s="25"/>
    </row>
    <row r="154" spans="1:17" x14ac:dyDescent="0.2">
      <c r="A154" s="296" t="s">
        <v>41</v>
      </c>
      <c r="B154" s="505" t="s">
        <v>176</v>
      </c>
      <c r="C154" s="505"/>
      <c r="D154" s="505"/>
      <c r="E154" s="505"/>
      <c r="F154" s="505"/>
      <c r="G154" s="505"/>
      <c r="H154" s="2"/>
      <c r="I154" s="327"/>
      <c r="J154" s="296"/>
      <c r="K154" s="505"/>
      <c r="L154" s="505"/>
      <c r="M154" s="505"/>
      <c r="N154" s="505"/>
      <c r="O154" s="505"/>
      <c r="P154" s="505"/>
    </row>
    <row r="155" spans="1:17" x14ac:dyDescent="0.2">
      <c r="A155" s="296" t="s">
        <v>177</v>
      </c>
      <c r="B155" s="454" t="s">
        <v>178</v>
      </c>
      <c r="C155" s="454"/>
      <c r="D155" s="454"/>
      <c r="E155" s="454"/>
      <c r="F155" s="454"/>
      <c r="G155" s="454"/>
      <c r="H155" s="6">
        <v>1.6500000000000001E-2</v>
      </c>
      <c r="I155" s="326">
        <f>H155*$I$172</f>
        <v>75.335786851188729</v>
      </c>
      <c r="J155" s="296"/>
      <c r="K155" s="454"/>
      <c r="L155" s="454"/>
      <c r="M155" s="454"/>
      <c r="N155" s="454"/>
      <c r="O155" s="454"/>
      <c r="P155" s="454"/>
      <c r="Q155" s="25"/>
    </row>
    <row r="156" spans="1:17" x14ac:dyDescent="0.2">
      <c r="A156" s="296" t="s">
        <v>179</v>
      </c>
      <c r="B156" s="454" t="s">
        <v>180</v>
      </c>
      <c r="C156" s="454"/>
      <c r="D156" s="454"/>
      <c r="E156" s="454"/>
      <c r="F156" s="454"/>
      <c r="G156" s="454"/>
      <c r="H156" s="6">
        <v>7.5999999999999998E-2</v>
      </c>
      <c r="I156" s="326">
        <f t="shared" ref="I156:I157" si="2">H156*$I$172</f>
        <v>347.00120004183896</v>
      </c>
      <c r="J156" s="296"/>
      <c r="K156" s="454"/>
      <c r="L156" s="454"/>
      <c r="M156" s="454"/>
      <c r="N156" s="454"/>
      <c r="O156" s="454"/>
      <c r="P156" s="454"/>
      <c r="Q156" s="25"/>
    </row>
    <row r="157" spans="1:17" x14ac:dyDescent="0.2">
      <c r="A157" s="296" t="s">
        <v>181</v>
      </c>
      <c r="B157" s="454" t="s">
        <v>182</v>
      </c>
      <c r="C157" s="454"/>
      <c r="D157" s="454"/>
      <c r="E157" s="454"/>
      <c r="F157" s="454"/>
      <c r="G157" s="454"/>
      <c r="H157" s="6">
        <v>0.05</v>
      </c>
      <c r="I157" s="326">
        <f t="shared" si="2"/>
        <v>228.29026318542037</v>
      </c>
      <c r="J157" s="296"/>
      <c r="K157" s="454"/>
      <c r="L157" s="454"/>
      <c r="M157" s="454"/>
      <c r="N157" s="454"/>
      <c r="O157" s="454"/>
      <c r="P157" s="454"/>
      <c r="Q157" s="25"/>
    </row>
    <row r="158" spans="1:17" x14ac:dyDescent="0.2">
      <c r="A158" s="475" t="s">
        <v>183</v>
      </c>
      <c r="B158" s="487"/>
      <c r="C158" s="487"/>
      <c r="D158" s="487"/>
      <c r="E158" s="487"/>
      <c r="F158" s="487"/>
      <c r="G158" s="487"/>
      <c r="H158" s="44">
        <f>SUM(H152:H157)</f>
        <v>0.29250000000000004</v>
      </c>
      <c r="I158" s="320">
        <f>SUM(I152:I157)</f>
        <v>1176.0407497430747</v>
      </c>
      <c r="J158" s="475"/>
      <c r="K158" s="487"/>
      <c r="L158" s="487"/>
      <c r="M158" s="487"/>
      <c r="N158" s="487"/>
      <c r="O158" s="487"/>
      <c r="P158" s="487"/>
    </row>
    <row r="159" spans="1:17" x14ac:dyDescent="0.2">
      <c r="A159" s="287"/>
      <c r="B159" s="238"/>
      <c r="C159" s="238"/>
      <c r="D159" s="238"/>
      <c r="E159" s="238"/>
      <c r="F159" s="238"/>
      <c r="G159" s="238"/>
      <c r="H159" s="238"/>
      <c r="I159" s="328"/>
      <c r="J159" s="287"/>
      <c r="K159" s="238"/>
      <c r="L159" s="238"/>
      <c r="M159" s="238"/>
      <c r="N159" s="238"/>
      <c r="O159" s="238"/>
      <c r="P159" s="238"/>
    </row>
    <row r="160" spans="1:17" x14ac:dyDescent="0.2">
      <c r="A160" s="300" t="s">
        <v>184</v>
      </c>
      <c r="B160" s="238"/>
      <c r="C160" s="238"/>
      <c r="D160" s="238"/>
      <c r="E160" s="238"/>
      <c r="F160" s="238"/>
      <c r="G160" s="238"/>
      <c r="H160" s="238"/>
      <c r="I160" s="328"/>
      <c r="J160" s="300"/>
      <c r="K160" s="238"/>
      <c r="L160" s="238"/>
      <c r="M160" s="238"/>
      <c r="N160" s="238"/>
      <c r="O160" s="238"/>
      <c r="P160" s="238"/>
    </row>
    <row r="161" spans="1:16" x14ac:dyDescent="0.2">
      <c r="A161" s="300" t="s">
        <v>185</v>
      </c>
      <c r="B161" s="238"/>
      <c r="C161" s="238"/>
      <c r="D161" s="238"/>
      <c r="E161" s="238"/>
      <c r="F161" s="238"/>
      <c r="G161" s="238"/>
      <c r="H161" s="238"/>
      <c r="I161" s="328"/>
      <c r="J161" s="300"/>
      <c r="K161" s="238"/>
      <c r="L161" s="238"/>
      <c r="M161" s="238"/>
      <c r="N161" s="238"/>
      <c r="O161" s="238"/>
      <c r="P161" s="238"/>
    </row>
    <row r="162" spans="1:16" x14ac:dyDescent="0.2">
      <c r="A162" s="287"/>
      <c r="B162" s="233"/>
      <c r="C162" s="233"/>
      <c r="D162" s="233"/>
      <c r="E162" s="233"/>
      <c r="F162" s="233"/>
      <c r="G162" s="233"/>
      <c r="H162" s="233"/>
      <c r="I162" s="61"/>
      <c r="J162" s="287"/>
      <c r="K162" s="233"/>
      <c r="L162" s="233"/>
      <c r="M162" s="233"/>
      <c r="N162" s="233"/>
      <c r="O162" s="233"/>
      <c r="P162" s="233"/>
    </row>
    <row r="163" spans="1:16" x14ac:dyDescent="0.2">
      <c r="A163" s="456" t="s">
        <v>186</v>
      </c>
      <c r="B163" s="457"/>
      <c r="C163" s="457"/>
      <c r="D163" s="457"/>
      <c r="E163" s="457"/>
      <c r="F163" s="457"/>
      <c r="G163" s="457"/>
      <c r="H163" s="457"/>
      <c r="I163" s="458"/>
      <c r="J163" s="456"/>
      <c r="K163" s="457"/>
      <c r="L163" s="457"/>
      <c r="M163" s="457"/>
      <c r="N163" s="457"/>
      <c r="O163" s="457"/>
      <c r="P163" s="457"/>
    </row>
    <row r="164" spans="1:16" x14ac:dyDescent="0.2">
      <c r="A164" s="464" t="s">
        <v>187</v>
      </c>
      <c r="B164" s="465"/>
      <c r="C164" s="465"/>
      <c r="D164" s="465"/>
      <c r="E164" s="465"/>
      <c r="F164" s="465"/>
      <c r="G164" s="465"/>
      <c r="H164" s="465"/>
      <c r="I164" s="297" t="s">
        <v>71</v>
      </c>
      <c r="J164" s="464"/>
      <c r="K164" s="465"/>
      <c r="L164" s="465"/>
      <c r="M164" s="465"/>
      <c r="N164" s="465"/>
      <c r="O164" s="465"/>
      <c r="P164" s="465"/>
    </row>
    <row r="165" spans="1:16" x14ac:dyDescent="0.2">
      <c r="A165" s="292" t="s">
        <v>37</v>
      </c>
      <c r="B165" s="455" t="str">
        <f>A37</f>
        <v>MÓDULO 1 - COMPOSIÇÃO DA REMUNERAÇÃO</v>
      </c>
      <c r="C165" s="455"/>
      <c r="D165" s="455"/>
      <c r="E165" s="455"/>
      <c r="F165" s="455"/>
      <c r="G165" s="455"/>
      <c r="H165" s="455"/>
      <c r="I165" s="326">
        <f>I45</f>
        <v>1524.77</v>
      </c>
      <c r="J165" s="292"/>
      <c r="K165" s="455"/>
      <c r="L165" s="455"/>
      <c r="M165" s="455"/>
      <c r="N165" s="455"/>
      <c r="O165" s="455"/>
      <c r="P165" s="455"/>
    </row>
    <row r="166" spans="1:16" x14ac:dyDescent="0.2">
      <c r="A166" s="292" t="s">
        <v>39</v>
      </c>
      <c r="B166" s="455" t="str">
        <f>A50</f>
        <v>MÓDULO 2 – ENCARGOS E BENEFÍCIOS ANUAIS, MENSAIS E DIÁRIOS</v>
      </c>
      <c r="C166" s="455"/>
      <c r="D166" s="455"/>
      <c r="E166" s="455"/>
      <c r="F166" s="455"/>
      <c r="G166" s="455"/>
      <c r="H166" s="455"/>
      <c r="I166" s="326">
        <f>I102</f>
        <v>1673.4263647146668</v>
      </c>
      <c r="J166" s="292"/>
      <c r="K166" s="455"/>
      <c r="L166" s="455"/>
      <c r="M166" s="455"/>
      <c r="N166" s="455"/>
      <c r="O166" s="455"/>
      <c r="P166" s="455"/>
    </row>
    <row r="167" spans="1:16" x14ac:dyDescent="0.2">
      <c r="A167" s="292" t="s">
        <v>41</v>
      </c>
      <c r="B167" s="455" t="str">
        <f>A104</f>
        <v>MÓDULO 3 – PROVISÃO PARA RESCISÃO</v>
      </c>
      <c r="C167" s="455"/>
      <c r="D167" s="455"/>
      <c r="E167" s="455"/>
      <c r="F167" s="455"/>
      <c r="G167" s="455"/>
      <c r="H167" s="455"/>
      <c r="I167" s="326">
        <f>I112</f>
        <v>108.37333270400001</v>
      </c>
      <c r="J167" s="292"/>
      <c r="K167" s="455"/>
      <c r="L167" s="455"/>
      <c r="M167" s="455"/>
      <c r="N167" s="455"/>
      <c r="O167" s="455"/>
      <c r="P167" s="455"/>
    </row>
    <row r="168" spans="1:16" x14ac:dyDescent="0.2">
      <c r="A168" s="329" t="s">
        <v>44</v>
      </c>
      <c r="B168" s="455" t="str">
        <f>A114</f>
        <v>MÓDULO 4 – CUSTO DE REPOSIÇÃO DO PROFISSIONAL AUSENTE</v>
      </c>
      <c r="C168" s="455"/>
      <c r="D168" s="455"/>
      <c r="E168" s="455"/>
      <c r="F168" s="455"/>
      <c r="G168" s="455"/>
      <c r="H168" s="455"/>
      <c r="I168" s="326">
        <f>I138</f>
        <v>42.760649880000003</v>
      </c>
      <c r="J168" s="329"/>
      <c r="K168" s="455"/>
      <c r="L168" s="455"/>
      <c r="M168" s="455"/>
      <c r="N168" s="455"/>
      <c r="O168" s="455"/>
      <c r="P168" s="455"/>
    </row>
    <row r="169" spans="1:16" x14ac:dyDescent="0.2">
      <c r="A169" s="329" t="s">
        <v>76</v>
      </c>
      <c r="B169" s="455" t="str">
        <f>A140</f>
        <v>MÓDULO 5 – INSUMOS DIVERSOS</v>
      </c>
      <c r="C169" s="455"/>
      <c r="D169" s="455"/>
      <c r="E169" s="455"/>
      <c r="F169" s="455"/>
      <c r="G169" s="455"/>
      <c r="H169" s="455"/>
      <c r="I169" s="326">
        <f>I146</f>
        <v>40.434166666666663</v>
      </c>
      <c r="J169" s="329"/>
      <c r="K169" s="455"/>
      <c r="L169" s="455"/>
      <c r="M169" s="455"/>
      <c r="N169" s="455"/>
      <c r="O169" s="455"/>
      <c r="P169" s="455"/>
    </row>
    <row r="170" spans="1:16" x14ac:dyDescent="0.2">
      <c r="A170" s="296"/>
      <c r="B170" s="465" t="s">
        <v>188</v>
      </c>
      <c r="C170" s="465"/>
      <c r="D170" s="465"/>
      <c r="E170" s="465"/>
      <c r="F170" s="465"/>
      <c r="G170" s="465"/>
      <c r="H170" s="465"/>
      <c r="I170" s="330">
        <f>SUM(I165:I169)</f>
        <v>3389.7645139653332</v>
      </c>
      <c r="J170" s="296"/>
      <c r="K170" s="465"/>
      <c r="L170" s="465"/>
      <c r="M170" s="465"/>
      <c r="N170" s="465"/>
      <c r="O170" s="465"/>
      <c r="P170" s="465"/>
    </row>
    <row r="171" spans="1:16" x14ac:dyDescent="0.2">
      <c r="A171" s="329" t="s">
        <v>78</v>
      </c>
      <c r="B171" s="455" t="str">
        <f>A150</f>
        <v>MÓDULO 6 – CUSTOS INDIRETOS, TRIBUTOS E LUCRO</v>
      </c>
      <c r="C171" s="455"/>
      <c r="D171" s="455"/>
      <c r="E171" s="455"/>
      <c r="F171" s="455"/>
      <c r="G171" s="455"/>
      <c r="H171" s="455"/>
      <c r="I171" s="82">
        <f>I158</f>
        <v>1176.0407497430747</v>
      </c>
      <c r="J171" s="329"/>
      <c r="K171" s="455"/>
      <c r="L171" s="455"/>
      <c r="M171" s="455"/>
      <c r="N171" s="455"/>
      <c r="O171" s="455"/>
      <c r="P171" s="455"/>
    </row>
    <row r="172" spans="1:16" ht="13.5" thickBot="1" x14ac:dyDescent="0.25">
      <c r="A172" s="506" t="s">
        <v>189</v>
      </c>
      <c r="B172" s="507"/>
      <c r="C172" s="507"/>
      <c r="D172" s="507"/>
      <c r="E172" s="507"/>
      <c r="F172" s="507"/>
      <c r="G172" s="507"/>
      <c r="H172" s="507"/>
      <c r="I172" s="331">
        <f>SUM(I45,I102,I112,I138,I146,I152,I153)/(1-SUM(H155:H157))</f>
        <v>4565.8052637084074</v>
      </c>
      <c r="J172" s="506"/>
      <c r="K172" s="507"/>
      <c r="L172" s="507"/>
      <c r="M172" s="507"/>
      <c r="N172" s="507"/>
      <c r="O172" s="507"/>
      <c r="P172" s="507"/>
    </row>
    <row r="173" spans="1:16" ht="13.5" thickBot="1" x14ac:dyDescent="0.25">
      <c r="A173" s="3"/>
      <c r="B173" s="3"/>
      <c r="C173" s="3"/>
      <c r="D173" s="3"/>
      <c r="E173" s="3"/>
      <c r="F173" s="3"/>
      <c r="G173" s="3"/>
      <c r="H173" s="3"/>
      <c r="I173" s="4"/>
      <c r="J173" s="57"/>
    </row>
    <row r="174" spans="1:16" s="284" customFormat="1" ht="17.45" customHeight="1" thickBot="1" x14ac:dyDescent="0.25">
      <c r="A174" s="508" t="s">
        <v>190</v>
      </c>
      <c r="B174" s="509"/>
      <c r="C174" s="509"/>
      <c r="D174" s="509"/>
      <c r="E174" s="509"/>
      <c r="F174" s="509"/>
      <c r="G174" s="509"/>
      <c r="H174" s="341">
        <f>I16</f>
        <v>1</v>
      </c>
      <c r="I174" s="332">
        <f>I172*H174</f>
        <v>4565.8052637084074</v>
      </c>
      <c r="J174" s="335"/>
      <c r="K174" s="285"/>
      <c r="L174" s="285"/>
      <c r="M174" s="285"/>
      <c r="N174" s="285"/>
      <c r="O174" s="510"/>
      <c r="P174" s="511"/>
    </row>
    <row r="175" spans="1:16" s="284" customFormat="1" ht="24.95" customHeight="1" thickBot="1" x14ac:dyDescent="0.25">
      <c r="A175" s="522">
        <f>(I174)</f>
        <v>4565.8052637084074</v>
      </c>
      <c r="B175" s="523"/>
      <c r="C175" s="523"/>
      <c r="D175" s="523"/>
      <c r="E175" s="523"/>
      <c r="F175" s="523"/>
      <c r="G175" s="523"/>
      <c r="H175" s="524" t="str">
        <f>I31</f>
        <v>Servente de limpeza</v>
      </c>
      <c r="I175" s="525"/>
      <c r="J175" s="336"/>
      <c r="K175" s="283"/>
      <c r="L175" s="283"/>
      <c r="M175" s="283"/>
      <c r="N175" s="283"/>
      <c r="O175" s="283"/>
      <c r="P175" s="283"/>
    </row>
    <row r="176" spans="1:16" x14ac:dyDescent="0.2">
      <c r="A176" s="3"/>
      <c r="B176" s="3"/>
      <c r="C176" s="3"/>
      <c r="D176" s="3"/>
      <c r="E176" s="3"/>
      <c r="F176" s="3"/>
      <c r="G176" s="3"/>
      <c r="H176" s="3"/>
      <c r="I176" s="4"/>
    </row>
    <row r="177" spans="1:9" x14ac:dyDescent="0.2">
      <c r="A177" s="3"/>
      <c r="B177" s="3"/>
      <c r="C177" s="3"/>
      <c r="D177" s="3"/>
      <c r="E177" s="3"/>
      <c r="F177" s="3"/>
      <c r="G177" s="3"/>
      <c r="H177" s="3"/>
      <c r="I177" s="4"/>
    </row>
    <row r="178" spans="1:9" hidden="1" outlineLevel="1" x14ac:dyDescent="0.2"/>
    <row r="179" spans="1:9" hidden="1" outlineLevel="1" x14ac:dyDescent="0.2">
      <c r="A179" s="514" t="s">
        <v>202</v>
      </c>
      <c r="B179" s="515"/>
      <c r="C179" s="515"/>
      <c r="D179" s="515"/>
      <c r="E179" s="515"/>
      <c r="F179" s="515"/>
      <c r="G179" s="515"/>
      <c r="H179" s="515"/>
      <c r="I179" s="516"/>
    </row>
    <row r="180" spans="1:9" hidden="1" outlineLevel="1" x14ac:dyDescent="0.2">
      <c r="A180" s="517"/>
      <c r="B180" s="518"/>
      <c r="C180" s="518"/>
      <c r="D180" s="518"/>
      <c r="E180" s="518"/>
      <c r="F180" s="518"/>
      <c r="G180" s="518"/>
      <c r="H180" s="518"/>
      <c r="I180" s="519"/>
    </row>
    <row r="181" spans="1:9" hidden="1" outlineLevel="1" x14ac:dyDescent="0.2"/>
    <row r="182" spans="1:9" ht="38.25" hidden="1" outlineLevel="1" x14ac:dyDescent="0.2">
      <c r="A182" s="520" t="s">
        <v>193</v>
      </c>
      <c r="B182" s="520"/>
      <c r="C182" s="520"/>
      <c r="D182" s="521" t="s">
        <v>203</v>
      </c>
      <c r="E182" s="465"/>
      <c r="F182" s="465"/>
      <c r="G182" s="521" t="s">
        <v>204</v>
      </c>
      <c r="H182" s="465"/>
      <c r="I182" s="45" t="s">
        <v>198</v>
      </c>
    </row>
    <row r="183" spans="1:9" ht="30" hidden="1" customHeight="1" outlineLevel="1" x14ac:dyDescent="0.2">
      <c r="A183" s="512" t="s">
        <v>199</v>
      </c>
      <c r="B183" s="512"/>
      <c r="C183" s="512"/>
      <c r="D183" s="461" t="s">
        <v>205</v>
      </c>
      <c r="E183" s="512"/>
      <c r="F183" s="512"/>
      <c r="G183" s="513">
        <f>A175</f>
        <v>4565.8052637084074</v>
      </c>
      <c r="H183" s="512"/>
      <c r="I183" s="158">
        <f>TRUNC((1/1800)*G183,2)</f>
        <v>2.5299999999999998</v>
      </c>
    </row>
    <row r="184" spans="1:9" hidden="1" outlineLevel="1" x14ac:dyDescent="0.2">
      <c r="A184" s="465" t="s">
        <v>200</v>
      </c>
      <c r="B184" s="465"/>
      <c r="C184" s="465"/>
      <c r="D184" s="465"/>
      <c r="E184" s="465"/>
      <c r="F184" s="465"/>
      <c r="G184" s="465"/>
      <c r="H184" s="465"/>
      <c r="I184" s="159">
        <f>SUM(I183:I183)</f>
        <v>2.5299999999999998</v>
      </c>
    </row>
    <row r="185" spans="1:9" hidden="1" outlineLevel="1" x14ac:dyDescent="0.2"/>
    <row r="186" spans="1:9" hidden="1" outlineLevel="1" x14ac:dyDescent="0.2">
      <c r="A186" s="454" t="s">
        <v>206</v>
      </c>
      <c r="B186" s="454"/>
      <c r="C186" s="454"/>
      <c r="D186" s="454"/>
      <c r="E186" s="454"/>
      <c r="F186" s="454"/>
      <c r="G186" s="454"/>
      <c r="H186" s="454"/>
      <c r="I186" s="454"/>
    </row>
    <row r="187" spans="1:9" hidden="1" outlineLevel="1" x14ac:dyDescent="0.2"/>
    <row r="188" spans="1:9" hidden="1" outlineLevel="1" x14ac:dyDescent="0.2">
      <c r="A188" s="514" t="s">
        <v>207</v>
      </c>
      <c r="B188" s="515"/>
      <c r="C188" s="515"/>
      <c r="D188" s="515"/>
      <c r="E188" s="515"/>
      <c r="F188" s="515"/>
      <c r="G188" s="515"/>
      <c r="H188" s="515"/>
      <c r="I188" s="516"/>
    </row>
    <row r="189" spans="1:9" hidden="1" outlineLevel="1" x14ac:dyDescent="0.2">
      <c r="A189" s="517"/>
      <c r="B189" s="518"/>
      <c r="C189" s="518"/>
      <c r="D189" s="518"/>
      <c r="E189" s="518"/>
      <c r="F189" s="518"/>
      <c r="G189" s="518"/>
      <c r="H189" s="518"/>
      <c r="I189" s="519"/>
    </row>
    <row r="190" spans="1:9" hidden="1" outlineLevel="1" x14ac:dyDescent="0.2"/>
    <row r="191" spans="1:9" ht="38.25" hidden="1" outlineLevel="1" x14ac:dyDescent="0.2">
      <c r="A191" s="520" t="s">
        <v>193</v>
      </c>
      <c r="B191" s="520"/>
      <c r="C191" s="520"/>
      <c r="D191" s="521" t="s">
        <v>203</v>
      </c>
      <c r="E191" s="465"/>
      <c r="F191" s="465"/>
      <c r="G191" s="521" t="s">
        <v>204</v>
      </c>
      <c r="H191" s="465"/>
      <c r="I191" s="45" t="s">
        <v>198</v>
      </c>
    </row>
    <row r="192" spans="1:9" ht="30.6" hidden="1" customHeight="1" outlineLevel="1" x14ac:dyDescent="0.2">
      <c r="A192" s="512" t="s">
        <v>199</v>
      </c>
      <c r="B192" s="512"/>
      <c r="C192" s="512"/>
      <c r="D192" s="461" t="s">
        <v>208</v>
      </c>
      <c r="E192" s="512"/>
      <c r="F192" s="512"/>
      <c r="G192" s="513" t="e">
        <f>#REF!</f>
        <v>#REF!</v>
      </c>
      <c r="H192" s="512"/>
      <c r="I192" s="158" t="e">
        <f>TRUNC((1/300)*G192,2)</f>
        <v>#REF!</v>
      </c>
    </row>
    <row r="193" spans="1:9" hidden="1" outlineLevel="1" x14ac:dyDescent="0.2">
      <c r="A193" s="465" t="s">
        <v>200</v>
      </c>
      <c r="B193" s="465"/>
      <c r="C193" s="465"/>
      <c r="D193" s="465"/>
      <c r="E193" s="465"/>
      <c r="F193" s="465"/>
      <c r="G193" s="465"/>
      <c r="H193" s="465"/>
      <c r="I193" s="159" t="e">
        <f>SUM(I192:I192)</f>
        <v>#REF!</v>
      </c>
    </row>
    <row r="194" spans="1:9" hidden="1" outlineLevel="1" x14ac:dyDescent="0.2"/>
    <row r="195" spans="1:9" hidden="1" outlineLevel="1" x14ac:dyDescent="0.2">
      <c r="A195" s="454" t="s">
        <v>209</v>
      </c>
      <c r="B195" s="454"/>
      <c r="C195" s="454"/>
      <c r="D195" s="454"/>
      <c r="E195" s="454"/>
      <c r="F195" s="454"/>
      <c r="G195" s="454"/>
      <c r="H195" s="454"/>
      <c r="I195" s="454"/>
    </row>
    <row r="196" spans="1:9" hidden="1" outlineLevel="1" x14ac:dyDescent="0.2"/>
    <row r="197" spans="1:9" hidden="1" outlineLevel="1" x14ac:dyDescent="0.2">
      <c r="A197" s="532" t="s">
        <v>210</v>
      </c>
      <c r="B197" s="533"/>
      <c r="C197" s="533"/>
      <c r="D197" s="533"/>
      <c r="E197" s="533"/>
      <c r="F197" s="533"/>
      <c r="G197" s="533"/>
      <c r="H197" s="533"/>
      <c r="I197" s="534"/>
    </row>
    <row r="198" spans="1:9" hidden="1" outlineLevel="1" x14ac:dyDescent="0.2">
      <c r="A198" s="535"/>
      <c r="B198" s="536"/>
      <c r="C198" s="536"/>
      <c r="D198" s="536"/>
      <c r="E198" s="536"/>
      <c r="F198" s="536"/>
      <c r="G198" s="536"/>
      <c r="H198" s="536"/>
      <c r="I198" s="537"/>
    </row>
    <row r="199" spans="1:9" hidden="1" outlineLevel="1" x14ac:dyDescent="0.2"/>
    <row r="200" spans="1:9" ht="38.25" hidden="1" outlineLevel="1" x14ac:dyDescent="0.2">
      <c r="A200" s="520" t="s">
        <v>193</v>
      </c>
      <c r="B200" s="520"/>
      <c r="C200" s="520"/>
      <c r="D200" s="521" t="s">
        <v>203</v>
      </c>
      <c r="E200" s="465"/>
      <c r="F200" s="465"/>
      <c r="G200" s="521" t="s">
        <v>204</v>
      </c>
      <c r="H200" s="465"/>
      <c r="I200" s="45" t="s">
        <v>198</v>
      </c>
    </row>
    <row r="201" spans="1:9" ht="29.45" hidden="1" customHeight="1" outlineLevel="1" x14ac:dyDescent="0.2">
      <c r="A201" s="512" t="s">
        <v>199</v>
      </c>
      <c r="B201" s="512"/>
      <c r="C201" s="512"/>
      <c r="D201" s="461" t="s">
        <v>211</v>
      </c>
      <c r="E201" s="512"/>
      <c r="F201" s="512"/>
      <c r="G201" s="513" t="e">
        <f>G192</f>
        <v>#REF!</v>
      </c>
      <c r="H201" s="512"/>
      <c r="I201" s="158" t="e">
        <f>TRUNC((1/130)*G201/22,2)</f>
        <v>#REF!</v>
      </c>
    </row>
    <row r="202" spans="1:9" hidden="1" outlineLevel="1" x14ac:dyDescent="0.2">
      <c r="A202" s="465" t="s">
        <v>200</v>
      </c>
      <c r="B202" s="465"/>
      <c r="C202" s="465"/>
      <c r="D202" s="465"/>
      <c r="E202" s="465"/>
      <c r="F202" s="465"/>
      <c r="G202" s="465"/>
      <c r="H202" s="465"/>
      <c r="I202" s="282" t="e">
        <f>SUM(I201:I201)</f>
        <v>#REF!</v>
      </c>
    </row>
    <row r="203" spans="1:9" hidden="1" outlineLevel="1" x14ac:dyDescent="0.2"/>
    <row r="204" spans="1:9" hidden="1" outlineLevel="1" x14ac:dyDescent="0.2">
      <c r="A204" s="454" t="s">
        <v>212</v>
      </c>
      <c r="B204" s="454"/>
      <c r="C204" s="454"/>
      <c r="D204" s="454"/>
      <c r="E204" s="454"/>
      <c r="F204" s="454"/>
      <c r="G204" s="454"/>
      <c r="H204" s="454"/>
      <c r="I204" s="454"/>
    </row>
    <row r="205" spans="1:9" hidden="1" outlineLevel="1" x14ac:dyDescent="0.2"/>
    <row r="206" spans="1:9" hidden="1" outlineLevel="1" x14ac:dyDescent="0.2">
      <c r="A206" s="530" t="s">
        <v>213</v>
      </c>
      <c r="B206" s="531"/>
      <c r="C206" s="531"/>
      <c r="D206" s="531"/>
      <c r="E206" s="531"/>
      <c r="F206" s="531"/>
      <c r="G206" s="531"/>
      <c r="H206" s="531"/>
      <c r="I206" s="531"/>
    </row>
    <row r="207" spans="1:9" hidden="1" outlineLevel="1" x14ac:dyDescent="0.2"/>
    <row r="208" spans="1:9" hidden="1" outlineLevel="1" x14ac:dyDescent="0.2">
      <c r="A208" s="530" t="s">
        <v>214</v>
      </c>
      <c r="B208" s="531"/>
      <c r="C208" s="531"/>
      <c r="D208" s="531"/>
      <c r="E208" s="531"/>
      <c r="F208" s="531"/>
      <c r="G208" s="531"/>
      <c r="H208" s="531"/>
      <c r="I208" s="531"/>
    </row>
    <row r="209" spans="1:9" hidden="1" outlineLevel="1" x14ac:dyDescent="0.2">
      <c r="A209" s="252"/>
      <c r="B209" s="253"/>
      <c r="C209" s="253"/>
      <c r="D209" s="253"/>
      <c r="E209" s="253"/>
      <c r="F209" s="253"/>
      <c r="G209" s="253"/>
      <c r="H209" s="253"/>
      <c r="I209" s="253"/>
    </row>
    <row r="210" spans="1:9" hidden="1" outlineLevel="1" x14ac:dyDescent="0.2">
      <c r="A210" s="530" t="s">
        <v>215</v>
      </c>
      <c r="B210" s="531"/>
      <c r="C210" s="531"/>
      <c r="D210" s="531"/>
      <c r="E210" s="531"/>
      <c r="F210" s="531"/>
      <c r="G210" s="531"/>
      <c r="H210" s="531"/>
      <c r="I210" s="531"/>
    </row>
    <row r="211" spans="1:9" hidden="1" outlineLevel="1" x14ac:dyDescent="0.2"/>
    <row r="212" spans="1:9" hidden="1" outlineLevel="1" x14ac:dyDescent="0.2"/>
    <row r="213" spans="1:9" collapsed="1" x14ac:dyDescent="0.2">
      <c r="A213" s="476" t="s">
        <v>228</v>
      </c>
      <c r="B213" s="477"/>
      <c r="C213" s="477"/>
      <c r="D213" s="477"/>
      <c r="E213" s="477"/>
      <c r="F213" s="477"/>
      <c r="G213" s="477"/>
      <c r="H213" s="477"/>
      <c r="I213" s="478"/>
    </row>
    <row r="214" spans="1:9" s="32" customFormat="1" x14ac:dyDescent="0.2">
      <c r="A214" s="526"/>
      <c r="B214" s="527"/>
      <c r="C214" s="527"/>
      <c r="D214" s="527"/>
      <c r="E214" s="527"/>
      <c r="F214" s="527"/>
      <c r="G214" s="527"/>
      <c r="H214" s="527"/>
      <c r="I214" s="528"/>
    </row>
    <row r="216" spans="1:9" ht="13.5" thickBot="1" x14ac:dyDescent="0.25">
      <c r="A216" s="32"/>
      <c r="B216" s="32"/>
      <c r="C216" s="32"/>
      <c r="D216" s="32"/>
      <c r="E216" s="32"/>
      <c r="F216" s="32"/>
      <c r="G216" s="32"/>
      <c r="H216" s="32"/>
      <c r="I216" s="32"/>
    </row>
    <row r="217" spans="1:9" x14ac:dyDescent="0.2">
      <c r="A217" s="570" t="s">
        <v>229</v>
      </c>
      <c r="B217" s="571"/>
      <c r="C217" s="571"/>
      <c r="D217" s="571"/>
      <c r="E217" s="571"/>
      <c r="F217" s="571"/>
      <c r="G217" s="571"/>
      <c r="H217" s="571"/>
      <c r="I217" s="572"/>
    </row>
    <row r="218" spans="1:9" x14ac:dyDescent="0.2">
      <c r="A218" s="573"/>
      <c r="B218" s="574"/>
      <c r="C218" s="574"/>
      <c r="D218" s="574"/>
      <c r="E218" s="574"/>
      <c r="F218" s="574"/>
      <c r="G218" s="574"/>
      <c r="H218" s="574"/>
      <c r="I218" s="575"/>
    </row>
    <row r="219" spans="1:9" x14ac:dyDescent="0.2">
      <c r="A219" s="459" t="s">
        <v>199</v>
      </c>
      <c r="B219" s="461"/>
      <c r="C219" s="461"/>
      <c r="D219" s="461">
        <v>22</v>
      </c>
      <c r="E219" s="512"/>
      <c r="F219" s="512"/>
      <c r="G219" s="513">
        <f>I174</f>
        <v>4565.8052637084074</v>
      </c>
      <c r="H219" s="512"/>
      <c r="I219" s="367">
        <f>TRUNC(G219/D219,2)</f>
        <v>207.53</v>
      </c>
    </row>
    <row r="220" spans="1:9" ht="13.5" thickBot="1" x14ac:dyDescent="0.25">
      <c r="A220" s="568" t="s">
        <v>230</v>
      </c>
      <c r="B220" s="569"/>
      <c r="C220" s="569"/>
      <c r="D220" s="569"/>
      <c r="E220" s="569"/>
      <c r="F220" s="569"/>
      <c r="G220" s="569"/>
      <c r="H220" s="569"/>
      <c r="I220" s="368">
        <f>SUM(I219:I219)</f>
        <v>207.53</v>
      </c>
    </row>
  </sheetData>
  <mergeCells count="276">
    <mergeCell ref="A220:H220"/>
    <mergeCell ref="A213:I213"/>
    <mergeCell ref="A214:I214"/>
    <mergeCell ref="A217:I218"/>
    <mergeCell ref="A219:C219"/>
    <mergeCell ref="D219:F219"/>
    <mergeCell ref="G219:H219"/>
    <mergeCell ref="A208:I208"/>
    <mergeCell ref="A210:I210"/>
    <mergeCell ref="A201:C201"/>
    <mergeCell ref="D201:F201"/>
    <mergeCell ref="G201:H201"/>
    <mergeCell ref="A202:H202"/>
    <mergeCell ref="A204:I204"/>
    <mergeCell ref="A206:I206"/>
    <mergeCell ref="A193:H193"/>
    <mergeCell ref="A195:I195"/>
    <mergeCell ref="A197:I198"/>
    <mergeCell ref="A200:C200"/>
    <mergeCell ref="D200:F200"/>
    <mergeCell ref="G200:H200"/>
    <mergeCell ref="A191:C191"/>
    <mergeCell ref="D191:F191"/>
    <mergeCell ref="G191:H191"/>
    <mergeCell ref="A192:C192"/>
    <mergeCell ref="D192:F192"/>
    <mergeCell ref="G192:H192"/>
    <mergeCell ref="A183:C183"/>
    <mergeCell ref="D183:F183"/>
    <mergeCell ref="G183:H183"/>
    <mergeCell ref="A184:H184"/>
    <mergeCell ref="A186:I186"/>
    <mergeCell ref="A188:I189"/>
    <mergeCell ref="A179:I180"/>
    <mergeCell ref="A182:C182"/>
    <mergeCell ref="D182:F182"/>
    <mergeCell ref="G182:H182"/>
    <mergeCell ref="A175:G175"/>
    <mergeCell ref="H175:I175"/>
    <mergeCell ref="B171:H171"/>
    <mergeCell ref="K171:P171"/>
    <mergeCell ref="A172:H172"/>
    <mergeCell ref="J172:P172"/>
    <mergeCell ref="A174:G174"/>
    <mergeCell ref="O174:P174"/>
    <mergeCell ref="B168:H168"/>
    <mergeCell ref="K168:P168"/>
    <mergeCell ref="B169:H169"/>
    <mergeCell ref="K169:P169"/>
    <mergeCell ref="B170:H170"/>
    <mergeCell ref="K170:P170"/>
    <mergeCell ref="B165:H165"/>
    <mergeCell ref="K165:P165"/>
    <mergeCell ref="B166:H166"/>
    <mergeCell ref="K166:P166"/>
    <mergeCell ref="B167:H167"/>
    <mergeCell ref="K167:P167"/>
    <mergeCell ref="A158:G158"/>
    <mergeCell ref="J158:P158"/>
    <mergeCell ref="A163:I163"/>
    <mergeCell ref="J163:P163"/>
    <mergeCell ref="A164:H164"/>
    <mergeCell ref="J164:P164"/>
    <mergeCell ref="B155:G155"/>
    <mergeCell ref="K155:P155"/>
    <mergeCell ref="B156:G156"/>
    <mergeCell ref="K156:P156"/>
    <mergeCell ref="B157:G157"/>
    <mergeCell ref="K157:P157"/>
    <mergeCell ref="B152:G152"/>
    <mergeCell ref="K152:P152"/>
    <mergeCell ref="B153:G153"/>
    <mergeCell ref="K153:P153"/>
    <mergeCell ref="B154:G154"/>
    <mergeCell ref="K154:P154"/>
    <mergeCell ref="A146:G146"/>
    <mergeCell ref="J146:P146"/>
    <mergeCell ref="A150:I150"/>
    <mergeCell ref="J150:P150"/>
    <mergeCell ref="B151:G151"/>
    <mergeCell ref="K151:P151"/>
    <mergeCell ref="B143:G143"/>
    <mergeCell ref="K143:P143"/>
    <mergeCell ref="B144:G144"/>
    <mergeCell ref="K144:P144"/>
    <mergeCell ref="B145:G145"/>
    <mergeCell ref="K145:P145"/>
    <mergeCell ref="A140:I140"/>
    <mergeCell ref="J140:P140"/>
    <mergeCell ref="B141:G141"/>
    <mergeCell ref="K141:P141"/>
    <mergeCell ref="B142:G142"/>
    <mergeCell ref="K142:P142"/>
    <mergeCell ref="B137:G137"/>
    <mergeCell ref="K137:P137"/>
    <mergeCell ref="A138:H138"/>
    <mergeCell ref="J138:P138"/>
    <mergeCell ref="A139:I139"/>
    <mergeCell ref="J139:P139"/>
    <mergeCell ref="A134:I134"/>
    <mergeCell ref="J134:P134"/>
    <mergeCell ref="B135:G135"/>
    <mergeCell ref="K135:P135"/>
    <mergeCell ref="B136:G136"/>
    <mergeCell ref="K136:P136"/>
    <mergeCell ref="B130:G130"/>
    <mergeCell ref="K130:P130"/>
    <mergeCell ref="B131:G131"/>
    <mergeCell ref="K131:P131"/>
    <mergeCell ref="A132:G132"/>
    <mergeCell ref="J132:P132"/>
    <mergeCell ref="A126:G126"/>
    <mergeCell ref="J126:P126"/>
    <mergeCell ref="B127:G127"/>
    <mergeCell ref="K127:P127"/>
    <mergeCell ref="A128:G128"/>
    <mergeCell ref="J128:P128"/>
    <mergeCell ref="B123:G123"/>
    <mergeCell ref="K123:P123"/>
    <mergeCell ref="B124:G124"/>
    <mergeCell ref="K124:P124"/>
    <mergeCell ref="B125:G125"/>
    <mergeCell ref="K125:P125"/>
    <mergeCell ref="B120:G120"/>
    <mergeCell ref="K120:P120"/>
    <mergeCell ref="B121:G121"/>
    <mergeCell ref="K121:P121"/>
    <mergeCell ref="B122:G122"/>
    <mergeCell ref="K122:P122"/>
    <mergeCell ref="A113:I113"/>
    <mergeCell ref="J113:P113"/>
    <mergeCell ref="A114:I114"/>
    <mergeCell ref="J114:P114"/>
    <mergeCell ref="B119:G119"/>
    <mergeCell ref="K119:P119"/>
    <mergeCell ref="B110:G110"/>
    <mergeCell ref="K110:P110"/>
    <mergeCell ref="B111:G111"/>
    <mergeCell ref="K111:P111"/>
    <mergeCell ref="A112:G112"/>
    <mergeCell ref="J112:P112"/>
    <mergeCell ref="B107:G107"/>
    <mergeCell ref="K107:P107"/>
    <mergeCell ref="B108:G108"/>
    <mergeCell ref="K108:P108"/>
    <mergeCell ref="B109:G109"/>
    <mergeCell ref="K109:P109"/>
    <mergeCell ref="A104:I104"/>
    <mergeCell ref="J104:P104"/>
    <mergeCell ref="B105:G105"/>
    <mergeCell ref="K105:P105"/>
    <mergeCell ref="B106:G106"/>
    <mergeCell ref="K106:P106"/>
    <mergeCell ref="B101:H101"/>
    <mergeCell ref="K101:P101"/>
    <mergeCell ref="A102:H102"/>
    <mergeCell ref="J102:P102"/>
    <mergeCell ref="A103:I103"/>
    <mergeCell ref="J103:P103"/>
    <mergeCell ref="A98:H98"/>
    <mergeCell ref="J98:P98"/>
    <mergeCell ref="B99:H99"/>
    <mergeCell ref="K99:P99"/>
    <mergeCell ref="B100:H100"/>
    <mergeCell ref="K100:P100"/>
    <mergeCell ref="B88:G88"/>
    <mergeCell ref="K88:P88"/>
    <mergeCell ref="B89:G89"/>
    <mergeCell ref="K89:P89"/>
    <mergeCell ref="A90:H90"/>
    <mergeCell ref="J90:P90"/>
    <mergeCell ref="B85:G85"/>
    <mergeCell ref="K85:P85"/>
    <mergeCell ref="B86:G86"/>
    <mergeCell ref="K86:P86"/>
    <mergeCell ref="B87:G87"/>
    <mergeCell ref="K87:P87"/>
    <mergeCell ref="A75:G75"/>
    <mergeCell ref="J75:P75"/>
    <mergeCell ref="B83:G83"/>
    <mergeCell ref="K83:P83"/>
    <mergeCell ref="B84:G84"/>
    <mergeCell ref="K84:P84"/>
    <mergeCell ref="B72:G72"/>
    <mergeCell ref="K72:P72"/>
    <mergeCell ref="B73:G73"/>
    <mergeCell ref="K73:P73"/>
    <mergeCell ref="B74:G74"/>
    <mergeCell ref="K74:P74"/>
    <mergeCell ref="B69:G69"/>
    <mergeCell ref="K69:P69"/>
    <mergeCell ref="B70:G70"/>
    <mergeCell ref="K70:P70"/>
    <mergeCell ref="B71:G71"/>
    <mergeCell ref="K71:P71"/>
    <mergeCell ref="B66:G66"/>
    <mergeCell ref="K66:P66"/>
    <mergeCell ref="B67:G67"/>
    <mergeCell ref="K67:P67"/>
    <mergeCell ref="B68:G68"/>
    <mergeCell ref="K68:P68"/>
    <mergeCell ref="A54:G54"/>
    <mergeCell ref="J54:P54"/>
    <mergeCell ref="B55:G55"/>
    <mergeCell ref="K55:P55"/>
    <mergeCell ref="A56:G56"/>
    <mergeCell ref="J56:P56"/>
    <mergeCell ref="B51:G51"/>
    <mergeCell ref="K51:P51"/>
    <mergeCell ref="B52:G52"/>
    <mergeCell ref="K52:P52"/>
    <mergeCell ref="B53:G53"/>
    <mergeCell ref="K53:P53"/>
    <mergeCell ref="B44:G44"/>
    <mergeCell ref="K44:P44"/>
    <mergeCell ref="A45:H45"/>
    <mergeCell ref="J45:P45"/>
    <mergeCell ref="A50:I50"/>
    <mergeCell ref="J50:P50"/>
    <mergeCell ref="B41:G41"/>
    <mergeCell ref="K41:P41"/>
    <mergeCell ref="B42:G42"/>
    <mergeCell ref="K42:P42"/>
    <mergeCell ref="B43:G43"/>
    <mergeCell ref="K43:P43"/>
    <mergeCell ref="B38:G38"/>
    <mergeCell ref="K38:P38"/>
    <mergeCell ref="B39:G39"/>
    <mergeCell ref="K39:P39"/>
    <mergeCell ref="B40:G40"/>
    <mergeCell ref="K40:P40"/>
    <mergeCell ref="B31:H31"/>
    <mergeCell ref="K31:P31"/>
    <mergeCell ref="B32:H32"/>
    <mergeCell ref="K32:P32"/>
    <mergeCell ref="A37:I37"/>
    <mergeCell ref="J37:P37"/>
    <mergeCell ref="B28:H28"/>
    <mergeCell ref="K28:P28"/>
    <mergeCell ref="B29:H29"/>
    <mergeCell ref="K29:P29"/>
    <mergeCell ref="B30:H30"/>
    <mergeCell ref="K30:P30"/>
    <mergeCell ref="A16:B16"/>
    <mergeCell ref="C16:D16"/>
    <mergeCell ref="E16:H16"/>
    <mergeCell ref="J16:K16"/>
    <mergeCell ref="L16:M16"/>
    <mergeCell ref="A27:I27"/>
    <mergeCell ref="J27:P27"/>
    <mergeCell ref="A14:I14"/>
    <mergeCell ref="J14:P14"/>
    <mergeCell ref="A15:B15"/>
    <mergeCell ref="C15:D15"/>
    <mergeCell ref="E15:I15"/>
    <mergeCell ref="J15:K15"/>
    <mergeCell ref="L15:M15"/>
    <mergeCell ref="N15:P15"/>
    <mergeCell ref="B10:H10"/>
    <mergeCell ref="K10:P10"/>
    <mergeCell ref="B11:H11"/>
    <mergeCell ref="K11:P11"/>
    <mergeCell ref="B12:H12"/>
    <mergeCell ref="K12:P12"/>
    <mergeCell ref="A6:F6"/>
    <mergeCell ref="J6:O6"/>
    <mergeCell ref="A8:I8"/>
    <mergeCell ref="J8:P8"/>
    <mergeCell ref="B9:H9"/>
    <mergeCell ref="K9:P9"/>
    <mergeCell ref="A1:I1"/>
    <mergeCell ref="J1:P1"/>
    <mergeCell ref="A3:F3"/>
    <mergeCell ref="J3:O3"/>
    <mergeCell ref="A4:F4"/>
    <mergeCell ref="J4:O4"/>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S66"/>
  <sheetViews>
    <sheetView zoomScale="130" zoomScaleNormal="130" workbookViewId="0"/>
  </sheetViews>
  <sheetFormatPr defaultRowHeight="12.75" customHeight="1" x14ac:dyDescent="0.2"/>
  <cols>
    <col min="2" max="2" width="16.28515625" bestFit="1" customWidth="1"/>
    <col min="3" max="3" width="10.7109375" customWidth="1"/>
    <col min="4" max="4" width="20.7109375" customWidth="1"/>
    <col min="5" max="5" width="15.42578125" customWidth="1"/>
    <col min="7" max="7" width="16.28515625" bestFit="1" customWidth="1"/>
    <col min="8" max="8" width="10.7109375" customWidth="1"/>
    <col min="9" max="9" width="20.7109375" customWidth="1"/>
    <col min="10" max="10" width="15.42578125" customWidth="1"/>
  </cols>
  <sheetData>
    <row r="1" spans="2:10" x14ac:dyDescent="0.2"/>
    <row r="2" spans="2:10" x14ac:dyDescent="0.2">
      <c r="B2" s="440" t="s">
        <v>231</v>
      </c>
      <c r="C2" s="441"/>
      <c r="D2" s="441"/>
      <c r="E2" s="442"/>
      <c r="G2" s="440" t="s">
        <v>232</v>
      </c>
      <c r="H2" s="441"/>
      <c r="I2" s="441"/>
      <c r="J2" s="442"/>
    </row>
    <row r="3" spans="2:10" x14ac:dyDescent="0.2">
      <c r="B3" s="57"/>
      <c r="E3" s="58"/>
      <c r="F3" s="43"/>
      <c r="G3" s="57"/>
      <c r="J3" s="58"/>
    </row>
    <row r="4" spans="2:10" x14ac:dyDescent="0.2">
      <c r="B4" s="80" t="s">
        <v>233</v>
      </c>
      <c r="C4" s="51"/>
      <c r="D4" s="51"/>
      <c r="E4" s="116">
        <v>4.9000000000000004</v>
      </c>
      <c r="G4" s="80" t="s">
        <v>233</v>
      </c>
      <c r="H4" s="51"/>
      <c r="I4" s="51"/>
      <c r="J4" s="116">
        <v>4.9000000000000004</v>
      </c>
    </row>
    <row r="5" spans="2:10" x14ac:dyDescent="0.2">
      <c r="B5" s="80" t="s">
        <v>234</v>
      </c>
      <c r="C5" s="51"/>
      <c r="D5" s="51"/>
      <c r="E5" s="115">
        <v>2</v>
      </c>
      <c r="G5" s="80" t="s">
        <v>234</v>
      </c>
      <c r="H5" s="51"/>
      <c r="I5" s="51"/>
      <c r="J5" s="115">
        <v>2</v>
      </c>
    </row>
    <row r="6" spans="2:10" x14ac:dyDescent="0.2">
      <c r="B6" s="80" t="s">
        <v>235</v>
      </c>
      <c r="C6" s="51"/>
      <c r="D6" s="51"/>
      <c r="E6" s="115">
        <v>22</v>
      </c>
      <c r="G6" s="80" t="s">
        <v>235</v>
      </c>
      <c r="H6" s="51"/>
      <c r="I6" s="51"/>
      <c r="J6" s="115">
        <v>22</v>
      </c>
    </row>
    <row r="7" spans="2:10" x14ac:dyDescent="0.2">
      <c r="B7" s="80" t="s">
        <v>236</v>
      </c>
      <c r="C7" s="51"/>
      <c r="D7" s="51"/>
      <c r="E7" s="170">
        <v>0.06</v>
      </c>
      <c r="G7" s="80" t="s">
        <v>236</v>
      </c>
      <c r="H7" s="51"/>
      <c r="I7" s="51"/>
      <c r="J7" s="170">
        <v>0.06</v>
      </c>
    </row>
    <row r="8" spans="2:10" x14ac:dyDescent="0.2">
      <c r="B8" s="57"/>
      <c r="E8" s="58"/>
      <c r="G8" s="57"/>
      <c r="J8" s="58"/>
    </row>
    <row r="9" spans="2:10" x14ac:dyDescent="0.2">
      <c r="B9" s="81" t="s">
        <v>237</v>
      </c>
      <c r="C9" s="51"/>
      <c r="D9" s="51"/>
      <c r="E9" s="83">
        <f>(E4*E5*E6)</f>
        <v>215.60000000000002</v>
      </c>
      <c r="G9" s="81" t="s">
        <v>237</v>
      </c>
      <c r="H9" s="51"/>
      <c r="I9" s="51"/>
      <c r="J9" s="83">
        <f>(J4*J5*J6)</f>
        <v>215.60000000000002</v>
      </c>
    </row>
    <row r="10" spans="2:10" x14ac:dyDescent="0.2">
      <c r="B10" s="81" t="s">
        <v>238</v>
      </c>
      <c r="C10" s="51"/>
      <c r="D10" s="51"/>
      <c r="E10" s="83">
        <f>'Limpeza - Item 5'!I30*'Mód2.3 '!E7</f>
        <v>91.486199999999997</v>
      </c>
      <c r="G10" s="81" t="s">
        <v>238</v>
      </c>
      <c r="H10" s="51"/>
      <c r="I10" s="51"/>
      <c r="J10" s="83">
        <f>'Controle de pragas - Item 6'!I43*'Mód2.3 '!J7</f>
        <v>92.203800000000001</v>
      </c>
    </row>
    <row r="11" spans="2:10" x14ac:dyDescent="0.2">
      <c r="B11" s="57"/>
      <c r="E11" s="58"/>
      <c r="G11" s="57"/>
      <c r="J11" s="58"/>
    </row>
    <row r="12" spans="2:10" x14ac:dyDescent="0.2">
      <c r="B12" s="65" t="s">
        <v>239</v>
      </c>
      <c r="C12" s="66"/>
      <c r="D12" s="66"/>
      <c r="E12" s="79">
        <f>E9-E10</f>
        <v>124.11380000000003</v>
      </c>
      <c r="G12" s="65" t="s">
        <v>239</v>
      </c>
      <c r="H12" s="66"/>
      <c r="I12" s="66"/>
      <c r="J12" s="79">
        <f>J9-J10</f>
        <v>123.39620000000002</v>
      </c>
    </row>
    <row r="13" spans="2:10" x14ac:dyDescent="0.2">
      <c r="E13" s="7"/>
    </row>
    <row r="14" spans="2:10" x14ac:dyDescent="0.2">
      <c r="E14" s="7"/>
    </row>
    <row r="15" spans="2:10" x14ac:dyDescent="0.2">
      <c r="B15" s="440" t="s">
        <v>240</v>
      </c>
      <c r="C15" s="441"/>
      <c r="D15" s="441"/>
      <c r="E15" s="442"/>
    </row>
    <row r="16" spans="2:10" x14ac:dyDescent="0.2">
      <c r="B16" s="57"/>
      <c r="E16" s="58"/>
    </row>
    <row r="17" spans="2:5" x14ac:dyDescent="0.2">
      <c r="B17" s="80" t="s">
        <v>241</v>
      </c>
      <c r="C17" s="51"/>
      <c r="D17" s="51"/>
      <c r="E17" s="116">
        <f>600/E18</f>
        <v>27.272727272727273</v>
      </c>
    </row>
    <row r="18" spans="2:5" x14ac:dyDescent="0.2">
      <c r="B18" s="80" t="s">
        <v>235</v>
      </c>
      <c r="C18" s="51"/>
      <c r="D18" s="51"/>
      <c r="E18" s="115">
        <v>22</v>
      </c>
    </row>
    <row r="19" spans="2:5" x14ac:dyDescent="0.2">
      <c r="B19" s="80" t="s">
        <v>242</v>
      </c>
      <c r="C19" s="51"/>
      <c r="D19" s="51"/>
      <c r="E19" s="198">
        <v>0.1</v>
      </c>
    </row>
    <row r="20" spans="2:5" x14ac:dyDescent="0.2">
      <c r="B20" s="57"/>
      <c r="E20" s="58"/>
    </row>
    <row r="21" spans="2:5" x14ac:dyDescent="0.2">
      <c r="B21" s="81" t="s">
        <v>243</v>
      </c>
      <c r="C21" s="51"/>
      <c r="D21" s="51"/>
      <c r="E21" s="82">
        <f>E17*E18</f>
        <v>600</v>
      </c>
    </row>
    <row r="22" spans="2:5" x14ac:dyDescent="0.2">
      <c r="B22" s="81" t="s">
        <v>244</v>
      </c>
      <c r="C22" s="51"/>
      <c r="D22" s="51"/>
      <c r="E22" s="160"/>
    </row>
    <row r="23" spans="2:5" x14ac:dyDescent="0.2">
      <c r="B23" s="81" t="s">
        <v>238</v>
      </c>
      <c r="C23" s="51"/>
      <c r="D23" s="51"/>
      <c r="E23" s="82">
        <f>E21*E19</f>
        <v>60</v>
      </c>
    </row>
    <row r="24" spans="2:5" x14ac:dyDescent="0.2">
      <c r="B24" s="57"/>
      <c r="E24" s="58"/>
    </row>
    <row r="25" spans="2:5" x14ac:dyDescent="0.2">
      <c r="B25" s="65" t="s">
        <v>245</v>
      </c>
      <c r="C25" s="66"/>
      <c r="D25" s="66"/>
      <c r="E25" s="79">
        <f>E21-E23+E22</f>
        <v>540</v>
      </c>
    </row>
    <row r="26" spans="2:5" x14ac:dyDescent="0.2">
      <c r="E26" s="7"/>
    </row>
    <row r="27" spans="2:5" x14ac:dyDescent="0.2">
      <c r="E27" s="7"/>
    </row>
    <row r="28" spans="2:5" x14ac:dyDescent="0.2">
      <c r="B28" s="440" t="s">
        <v>246</v>
      </c>
      <c r="C28" s="441"/>
      <c r="D28" s="441"/>
      <c r="E28" s="442"/>
    </row>
    <row r="29" spans="2:5" x14ac:dyDescent="0.2">
      <c r="B29" s="57"/>
      <c r="E29" s="58"/>
    </row>
    <row r="30" spans="2:5" x14ac:dyDescent="0.2">
      <c r="B30" s="80" t="s">
        <v>247</v>
      </c>
      <c r="C30" s="51"/>
      <c r="D30" s="51"/>
      <c r="E30" s="161"/>
    </row>
    <row r="31" spans="2:5" x14ac:dyDescent="0.2">
      <c r="B31" s="80" t="s">
        <v>248</v>
      </c>
      <c r="C31" s="51"/>
      <c r="D31" s="51"/>
      <c r="E31" s="161"/>
    </row>
    <row r="32" spans="2:5" x14ac:dyDescent="0.2">
      <c r="B32" s="57"/>
      <c r="E32" s="58"/>
    </row>
    <row r="33" spans="2:19" x14ac:dyDescent="0.2">
      <c r="B33" s="65" t="s">
        <v>249</v>
      </c>
      <c r="C33" s="66"/>
      <c r="D33" s="66"/>
      <c r="E33" s="79">
        <f>E30*'Controle de pragas - Item 6'!I58</f>
        <v>0</v>
      </c>
    </row>
    <row r="34" spans="2:19" x14ac:dyDescent="0.2">
      <c r="E34" s="7"/>
    </row>
    <row r="35" spans="2:19" ht="13.5" customHeight="1" x14ac:dyDescent="0.2">
      <c r="E35" s="7"/>
      <c r="K35" s="110"/>
      <c r="L35" s="110"/>
      <c r="M35" s="110"/>
      <c r="N35" s="110"/>
      <c r="O35" s="110"/>
      <c r="P35" s="110"/>
      <c r="Q35" s="110"/>
      <c r="R35" s="110"/>
      <c r="S35" s="110"/>
    </row>
    <row r="36" spans="2:19" x14ac:dyDescent="0.2">
      <c r="B36" s="578" t="s">
        <v>250</v>
      </c>
      <c r="C36" s="441"/>
      <c r="D36" s="441"/>
      <c r="E36" s="442"/>
      <c r="G36" s="580"/>
      <c r="H36" s="580"/>
      <c r="I36" s="580"/>
      <c r="J36" s="580"/>
      <c r="K36" s="580"/>
      <c r="L36" s="580"/>
      <c r="M36" s="580"/>
      <c r="N36" s="110"/>
      <c r="O36" s="110"/>
      <c r="P36" s="110"/>
      <c r="Q36" s="110"/>
      <c r="R36" s="110"/>
      <c r="S36" s="110"/>
    </row>
    <row r="37" spans="2:19" x14ac:dyDescent="0.2">
      <c r="B37" s="85"/>
      <c r="C37" s="86"/>
      <c r="D37" s="86"/>
      <c r="E37" s="87"/>
      <c r="K37" s="110"/>
      <c r="L37" s="110"/>
      <c r="M37" s="110"/>
      <c r="N37" s="110"/>
      <c r="O37" s="110"/>
      <c r="P37" s="110"/>
      <c r="Q37" s="110"/>
      <c r="R37" s="110"/>
      <c r="S37" s="110"/>
    </row>
    <row r="38" spans="2:19" x14ac:dyDescent="0.2">
      <c r="B38" s="80" t="s">
        <v>251</v>
      </c>
      <c r="C38" s="51"/>
      <c r="D38" s="51"/>
      <c r="E38" s="116"/>
      <c r="K38" s="110"/>
      <c r="L38" s="110"/>
      <c r="M38" s="110"/>
      <c r="N38" s="110"/>
      <c r="O38" s="110"/>
      <c r="P38" s="110"/>
      <c r="Q38" s="110"/>
      <c r="R38" s="110"/>
      <c r="S38" s="110"/>
    </row>
    <row r="39" spans="2:19" x14ac:dyDescent="0.2">
      <c r="B39" s="80" t="s">
        <v>252</v>
      </c>
      <c r="C39" s="51"/>
      <c r="D39" s="51"/>
      <c r="E39" s="116">
        <v>22</v>
      </c>
      <c r="K39" s="110"/>
      <c r="L39" s="110"/>
      <c r="M39" s="110"/>
      <c r="N39" s="110"/>
      <c r="O39" s="110"/>
      <c r="P39" s="110"/>
      <c r="Q39" s="110"/>
      <c r="R39" s="110"/>
      <c r="S39" s="110"/>
    </row>
    <row r="40" spans="2:19" x14ac:dyDescent="0.2">
      <c r="B40" s="80"/>
      <c r="C40" s="51"/>
      <c r="D40" s="84"/>
      <c r="E40" s="118"/>
      <c r="K40" s="110"/>
      <c r="L40" s="110"/>
      <c r="M40" s="110"/>
      <c r="N40" s="110"/>
      <c r="O40" s="110"/>
      <c r="P40" s="110"/>
      <c r="Q40" s="110"/>
      <c r="R40" s="110"/>
      <c r="S40" s="110"/>
    </row>
    <row r="41" spans="2:19" x14ac:dyDescent="0.2">
      <c r="B41" s="88"/>
      <c r="C41" s="89"/>
      <c r="D41" s="89"/>
      <c r="E41" s="90"/>
      <c r="K41" s="110"/>
      <c r="L41" s="110"/>
      <c r="M41" s="110"/>
      <c r="N41" s="110"/>
      <c r="O41" s="110"/>
      <c r="P41" s="110"/>
      <c r="Q41" s="110"/>
      <c r="R41" s="110"/>
      <c r="S41" s="110"/>
    </row>
    <row r="42" spans="2:19" x14ac:dyDescent="0.2">
      <c r="B42" s="65" t="s">
        <v>253</v>
      </c>
      <c r="C42" s="66"/>
      <c r="D42" s="66"/>
      <c r="E42" s="79">
        <f>E38+E39</f>
        <v>22</v>
      </c>
    </row>
    <row r="43" spans="2:19" x14ac:dyDescent="0.2">
      <c r="E43" s="7"/>
    </row>
    <row r="44" spans="2:19" ht="14.25" x14ac:dyDescent="0.2">
      <c r="E44" s="7"/>
      <c r="H44" s="109"/>
      <c r="I44" s="109"/>
    </row>
    <row r="45" spans="2:19" x14ac:dyDescent="0.2">
      <c r="B45" s="440" t="s">
        <v>254</v>
      </c>
      <c r="C45" s="441"/>
      <c r="D45" s="441"/>
      <c r="E45" s="442"/>
    </row>
    <row r="46" spans="2:19" x14ac:dyDescent="0.2">
      <c r="B46" s="85"/>
      <c r="C46" s="86"/>
      <c r="D46" s="86"/>
      <c r="E46" s="87"/>
    </row>
    <row r="47" spans="2:19" x14ac:dyDescent="0.2">
      <c r="B47" s="80" t="s">
        <v>255</v>
      </c>
      <c r="C47" s="51"/>
      <c r="D47" s="51"/>
      <c r="E47" s="116"/>
    </row>
    <row r="48" spans="2:19" x14ac:dyDescent="0.2">
      <c r="B48" s="80" t="s">
        <v>256</v>
      </c>
      <c r="C48" s="51"/>
      <c r="D48" s="51"/>
      <c r="E48" s="116"/>
    </row>
    <row r="49" spans="2:12" x14ac:dyDescent="0.2">
      <c r="B49" s="80" t="s">
        <v>257</v>
      </c>
      <c r="C49" s="51"/>
      <c r="D49" s="84"/>
      <c r="E49" s="119"/>
    </row>
    <row r="50" spans="2:12" x14ac:dyDescent="0.2">
      <c r="B50" s="88" t="s">
        <v>258</v>
      </c>
      <c r="C50" s="89"/>
      <c r="D50" s="89"/>
      <c r="E50" s="113">
        <v>1</v>
      </c>
    </row>
    <row r="51" spans="2:12" x14ac:dyDescent="0.2">
      <c r="B51" s="65" t="s">
        <v>259</v>
      </c>
      <c r="C51" s="66"/>
      <c r="D51" s="66"/>
      <c r="E51" s="111">
        <f>((E47*E49)+(E48*E49))/E50</f>
        <v>0</v>
      </c>
    </row>
    <row r="52" spans="2:12" x14ac:dyDescent="0.2">
      <c r="B52" s="72" t="s">
        <v>260</v>
      </c>
      <c r="C52" s="66"/>
      <c r="D52" s="66"/>
      <c r="E52" s="112">
        <f>E51/12</f>
        <v>0</v>
      </c>
    </row>
    <row r="53" spans="2:12" x14ac:dyDescent="0.2"/>
    <row r="54" spans="2:12" x14ac:dyDescent="0.2">
      <c r="B54" s="440"/>
      <c r="C54" s="441"/>
      <c r="D54" s="441"/>
      <c r="E54" s="442"/>
    </row>
    <row r="55" spans="2:12" x14ac:dyDescent="0.2">
      <c r="B55" s="91"/>
      <c r="C55" s="92"/>
      <c r="D55" s="92"/>
      <c r="E55" s="93"/>
    </row>
    <row r="56" spans="2:12" x14ac:dyDescent="0.2">
      <c r="B56" s="95" t="s">
        <v>261</v>
      </c>
      <c r="C56" s="51"/>
      <c r="D56" s="51"/>
      <c r="E56" s="116"/>
    </row>
    <row r="57" spans="2:12" ht="12.75" customHeight="1" x14ac:dyDescent="0.2">
      <c r="B57" s="95" t="s">
        <v>262</v>
      </c>
      <c r="C57" s="51"/>
      <c r="D57" s="51"/>
      <c r="E57" s="115"/>
      <c r="H57" s="579"/>
      <c r="I57" s="579"/>
      <c r="J57" s="579"/>
      <c r="K57" s="579"/>
      <c r="L57" s="579"/>
    </row>
    <row r="58" spans="2:12" ht="13.5" customHeight="1" x14ac:dyDescent="0.2">
      <c r="B58" s="88" t="s">
        <v>263</v>
      </c>
      <c r="C58" s="89"/>
      <c r="D58" s="89"/>
      <c r="E58" s="120">
        <v>2</v>
      </c>
      <c r="H58" s="579"/>
      <c r="I58" s="579"/>
      <c r="J58" s="579"/>
      <c r="K58" s="579"/>
      <c r="L58" s="579"/>
    </row>
    <row r="59" spans="2:12" x14ac:dyDescent="0.2">
      <c r="B59" s="114" t="s">
        <v>259</v>
      </c>
      <c r="C59" s="66"/>
      <c r="D59" s="66"/>
      <c r="E59" s="111">
        <f>E56*E57*E58</f>
        <v>0</v>
      </c>
      <c r="H59" s="579"/>
      <c r="I59" s="579"/>
      <c r="J59" s="579"/>
      <c r="K59" s="579"/>
      <c r="L59" s="579"/>
    </row>
    <row r="60" spans="2:12" x14ac:dyDescent="0.2">
      <c r="B60" s="72" t="s">
        <v>260</v>
      </c>
      <c r="C60" s="66"/>
      <c r="D60" s="66"/>
      <c r="E60" s="112">
        <f>E59/12</f>
        <v>0</v>
      </c>
    </row>
    <row r="63" spans="2:12" x14ac:dyDescent="0.2">
      <c r="B63" s="576" t="s">
        <v>264</v>
      </c>
      <c r="C63" s="577"/>
      <c r="D63" s="577"/>
      <c r="E63" s="577"/>
      <c r="F63" s="577"/>
      <c r="G63" s="577"/>
    </row>
    <row r="64" spans="2:12" x14ac:dyDescent="0.2">
      <c r="B64" s="577"/>
      <c r="C64" s="577"/>
      <c r="D64" s="577"/>
      <c r="E64" s="577"/>
      <c r="F64" s="577"/>
      <c r="G64" s="577"/>
    </row>
    <row r="65" spans="2:7" x14ac:dyDescent="0.2">
      <c r="B65" s="577"/>
      <c r="C65" s="577"/>
      <c r="D65" s="577"/>
      <c r="E65" s="577"/>
      <c r="F65" s="577"/>
      <c r="G65" s="577"/>
    </row>
    <row r="66" spans="2:7" x14ac:dyDescent="0.2">
      <c r="B66" s="577"/>
      <c r="C66" s="577"/>
      <c r="D66" s="577"/>
      <c r="E66" s="577"/>
      <c r="F66" s="577"/>
      <c r="G66" s="577"/>
    </row>
  </sheetData>
  <mergeCells count="11">
    <mergeCell ref="B2:E2"/>
    <mergeCell ref="B15:E15"/>
    <mergeCell ref="B28:E28"/>
    <mergeCell ref="G2:J2"/>
    <mergeCell ref="B63:G66"/>
    <mergeCell ref="B36:E36"/>
    <mergeCell ref="B45:E45"/>
    <mergeCell ref="B54:E54"/>
    <mergeCell ref="H57:L57"/>
    <mergeCell ref="H58:L59"/>
    <mergeCell ref="G36:M36"/>
  </mergeCells>
  <pageMargins left="0.511811024" right="0.511811024" top="0.78740157499999996" bottom="0.78740157499999996" header="0.31496062000000002" footer="0.3149606200000000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2"/>
  <sheetViews>
    <sheetView zoomScale="70" zoomScaleNormal="70" workbookViewId="0">
      <selection sqref="A1:L1"/>
    </sheetView>
  </sheetViews>
  <sheetFormatPr defaultRowHeight="12.75" x14ac:dyDescent="0.2"/>
  <cols>
    <col min="1" max="1" width="3.7109375" style="185" bestFit="1" customWidth="1"/>
    <col min="2" max="2" width="53.5703125" customWidth="1"/>
    <col min="3" max="3" width="6.7109375" customWidth="1"/>
    <col min="4" max="4" width="5.5703125" customWidth="1"/>
    <col min="5" max="7" width="10.28515625" bestFit="1" customWidth="1"/>
    <col min="8" max="8" width="9" customWidth="1"/>
    <col min="9" max="9" width="9.140625" customWidth="1"/>
    <col min="10" max="10" width="9.28515625" customWidth="1"/>
    <col min="11" max="11" width="10"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12.95" customHeight="1" thickBot="1" x14ac:dyDescent="0.25">
      <c r="A1" s="592" t="s">
        <v>265</v>
      </c>
      <c r="B1" s="593"/>
      <c r="C1" s="593"/>
      <c r="D1" s="593"/>
      <c r="E1" s="593"/>
      <c r="F1" s="593"/>
      <c r="G1" s="593"/>
      <c r="H1" s="593"/>
      <c r="I1" s="593"/>
      <c r="J1" s="593"/>
      <c r="K1" s="593"/>
      <c r="L1" s="594"/>
    </row>
    <row r="2" spans="1:13" ht="12.95" customHeight="1" x14ac:dyDescent="0.2">
      <c r="A2" s="216" t="s">
        <v>37</v>
      </c>
      <c r="B2" s="605" t="s">
        <v>266</v>
      </c>
      <c r="C2" s="605"/>
      <c r="D2" s="605"/>
      <c r="E2" s="240" t="s">
        <v>267</v>
      </c>
      <c r="F2" s="606"/>
      <c r="G2" s="595"/>
      <c r="H2" s="595"/>
      <c r="I2" s="595"/>
      <c r="J2" s="240" t="s">
        <v>268</v>
      </c>
      <c r="K2" s="595"/>
      <c r="L2" s="596"/>
    </row>
    <row r="3" spans="1:13" ht="12.95" customHeight="1" x14ac:dyDescent="0.2">
      <c r="A3" s="218" t="s">
        <v>39</v>
      </c>
      <c r="B3" s="601" t="s">
        <v>269</v>
      </c>
      <c r="C3" s="601"/>
      <c r="D3" s="601"/>
      <c r="E3" s="171" t="s">
        <v>267</v>
      </c>
      <c r="F3" s="603"/>
      <c r="G3" s="607"/>
      <c r="H3" s="607"/>
      <c r="I3" s="607"/>
      <c r="J3" s="171" t="s">
        <v>268</v>
      </c>
      <c r="K3" s="597" t="s">
        <v>270</v>
      </c>
      <c r="L3" s="598"/>
    </row>
    <row r="4" spans="1:13" ht="12.95" customHeight="1" x14ac:dyDescent="0.2">
      <c r="A4" s="220" t="s">
        <v>41</v>
      </c>
      <c r="B4" s="599" t="s">
        <v>271</v>
      </c>
      <c r="C4" s="599"/>
      <c r="D4" s="599"/>
      <c r="E4" s="172" t="s">
        <v>267</v>
      </c>
      <c r="F4" s="604"/>
      <c r="G4" s="599"/>
      <c r="H4" s="599"/>
      <c r="I4" s="599"/>
      <c r="J4" s="172" t="s">
        <v>268</v>
      </c>
      <c r="K4" s="599"/>
      <c r="L4" s="600"/>
    </row>
    <row r="5" spans="1:13" ht="12.95" customHeight="1" x14ac:dyDescent="0.2">
      <c r="A5" s="218" t="s">
        <v>44</v>
      </c>
      <c r="B5" s="601" t="s">
        <v>272</v>
      </c>
      <c r="C5" s="601"/>
      <c r="D5" s="601"/>
      <c r="E5" s="171" t="s">
        <v>267</v>
      </c>
      <c r="F5" s="603"/>
      <c r="G5" s="597"/>
      <c r="H5" s="597"/>
      <c r="I5" s="597"/>
      <c r="J5" s="171" t="s">
        <v>268</v>
      </c>
      <c r="K5" s="601"/>
      <c r="L5" s="602"/>
    </row>
    <row r="6" spans="1:13" x14ac:dyDescent="0.2">
      <c r="A6" s="222" t="s">
        <v>76</v>
      </c>
      <c r="B6" s="636"/>
      <c r="C6" s="636"/>
      <c r="D6" s="636"/>
      <c r="E6" s="223"/>
      <c r="F6" s="637"/>
      <c r="G6" s="638"/>
      <c r="H6" s="638"/>
      <c r="I6" s="638"/>
      <c r="J6" s="223"/>
      <c r="K6" s="608"/>
      <c r="L6" s="609"/>
    </row>
    <row r="7" spans="1:13" ht="13.5" thickBot="1" x14ac:dyDescent="0.25">
      <c r="A7" s="224" t="s">
        <v>78</v>
      </c>
      <c r="B7" s="633"/>
      <c r="C7" s="633"/>
      <c r="D7" s="633"/>
      <c r="E7" s="225"/>
      <c r="F7" s="634"/>
      <c r="G7" s="635"/>
      <c r="H7" s="635"/>
      <c r="I7" s="635"/>
      <c r="J7" s="226"/>
      <c r="K7" s="610"/>
      <c r="L7" s="611"/>
    </row>
    <row r="8" spans="1:13" x14ac:dyDescent="0.2">
      <c r="A8" s="612" t="s">
        <v>273</v>
      </c>
      <c r="B8" s="615" t="s">
        <v>274</v>
      </c>
      <c r="C8" s="618" t="s">
        <v>275</v>
      </c>
      <c r="D8" s="621" t="s">
        <v>276</v>
      </c>
      <c r="E8" s="624" t="s">
        <v>277</v>
      </c>
      <c r="F8" s="625"/>
      <c r="G8" s="625"/>
      <c r="H8" s="625"/>
      <c r="I8" s="625"/>
      <c r="J8" s="626"/>
      <c r="K8" s="627" t="s">
        <v>278</v>
      </c>
      <c r="L8" s="628"/>
    </row>
    <row r="9" spans="1:13" ht="13.5" x14ac:dyDescent="0.2">
      <c r="A9" s="613"/>
      <c r="B9" s="616"/>
      <c r="C9" s="619"/>
      <c r="D9" s="622"/>
      <c r="E9" s="397" t="s">
        <v>37</v>
      </c>
      <c r="F9" s="398" t="s">
        <v>39</v>
      </c>
      <c r="G9" s="398" t="s">
        <v>41</v>
      </c>
      <c r="H9" s="398" t="s">
        <v>44</v>
      </c>
      <c r="I9" s="398" t="s">
        <v>76</v>
      </c>
      <c r="J9" s="177" t="s">
        <v>78</v>
      </c>
      <c r="K9" s="629" t="s">
        <v>279</v>
      </c>
      <c r="L9" s="631" t="s">
        <v>280</v>
      </c>
    </row>
    <row r="10" spans="1:13" ht="24" customHeight="1" thickBot="1" x14ac:dyDescent="0.25">
      <c r="A10" s="614"/>
      <c r="B10" s="617"/>
      <c r="C10" s="620"/>
      <c r="D10" s="623"/>
      <c r="E10" s="352" t="s">
        <v>281</v>
      </c>
      <c r="F10" s="352" t="s">
        <v>281</v>
      </c>
      <c r="G10" s="352" t="s">
        <v>281</v>
      </c>
      <c r="H10" s="352" t="s">
        <v>281</v>
      </c>
      <c r="I10" s="352" t="s">
        <v>281</v>
      </c>
      <c r="J10" s="396" t="s">
        <v>281</v>
      </c>
      <c r="K10" s="630"/>
      <c r="L10" s="632"/>
    </row>
    <row r="11" spans="1:13" ht="38.25" x14ac:dyDescent="0.2">
      <c r="A11" s="178">
        <v>1</v>
      </c>
      <c r="B11" s="375" t="s">
        <v>282</v>
      </c>
      <c r="C11" s="345" t="s">
        <v>283</v>
      </c>
      <c r="D11" s="346">
        <v>2</v>
      </c>
      <c r="E11" s="386">
        <v>65.900000000000006</v>
      </c>
      <c r="F11" s="386">
        <v>59.9</v>
      </c>
      <c r="G11" s="386">
        <v>64</v>
      </c>
      <c r="H11" s="399">
        <v>65.7</v>
      </c>
      <c r="I11" s="399">
        <v>62</v>
      </c>
      <c r="J11" s="256">
        <v>67.25</v>
      </c>
      <c r="K11" s="265">
        <f t="shared" ref="K11:K18" si="0">AVERAGE(E11:J11)</f>
        <v>64.125</v>
      </c>
      <c r="L11" s="266">
        <f t="shared" ref="L11:L18" si="1">K11*D11</f>
        <v>128.25</v>
      </c>
    </row>
    <row r="12" spans="1:13" ht="38.25" x14ac:dyDescent="0.2">
      <c r="A12" s="180">
        <v>2</v>
      </c>
      <c r="B12" s="376" t="s">
        <v>284</v>
      </c>
      <c r="C12" s="242" t="s">
        <v>283</v>
      </c>
      <c r="D12" s="347">
        <v>2</v>
      </c>
      <c r="E12" s="385">
        <v>62</v>
      </c>
      <c r="F12" s="385">
        <v>65.42</v>
      </c>
      <c r="G12" s="385">
        <v>69</v>
      </c>
      <c r="H12" s="385"/>
      <c r="I12" s="256"/>
      <c r="J12" s="256"/>
      <c r="K12" s="267">
        <f t="shared" si="0"/>
        <v>65.473333333333343</v>
      </c>
      <c r="L12" s="268">
        <f t="shared" si="1"/>
        <v>130.94666666666669</v>
      </c>
      <c r="M12" s="207"/>
    </row>
    <row r="13" spans="1:13" ht="25.5" x14ac:dyDescent="0.2">
      <c r="A13" s="180">
        <v>3</v>
      </c>
      <c r="B13" s="359" t="s">
        <v>285</v>
      </c>
      <c r="C13" s="181" t="s">
        <v>286</v>
      </c>
      <c r="D13" s="348">
        <v>1</v>
      </c>
      <c r="E13" s="414">
        <v>42.9</v>
      </c>
      <c r="F13" s="414">
        <v>76</v>
      </c>
      <c r="G13" s="414">
        <v>63.9</v>
      </c>
      <c r="H13" s="414">
        <v>69.900000000000006</v>
      </c>
      <c r="I13" s="414">
        <v>68.989999999999995</v>
      </c>
      <c r="J13" s="414">
        <v>69.989999999999995</v>
      </c>
      <c r="K13" s="267">
        <f t="shared" si="0"/>
        <v>65.28</v>
      </c>
      <c r="L13" s="268">
        <f t="shared" si="1"/>
        <v>65.28</v>
      </c>
    </row>
    <row r="14" spans="1:13" ht="25.5" x14ac:dyDescent="0.2">
      <c r="A14" s="180">
        <v>4</v>
      </c>
      <c r="B14" s="377" t="s">
        <v>287</v>
      </c>
      <c r="C14" s="349" t="s">
        <v>286</v>
      </c>
      <c r="D14" s="350">
        <v>2</v>
      </c>
      <c r="E14" s="415">
        <v>14</v>
      </c>
      <c r="F14" s="415">
        <v>24</v>
      </c>
      <c r="G14" s="415">
        <v>17</v>
      </c>
      <c r="H14" s="415">
        <v>12.1</v>
      </c>
      <c r="I14" s="415">
        <v>15.99</v>
      </c>
      <c r="J14" s="415">
        <v>15.9</v>
      </c>
      <c r="K14" s="267">
        <f t="shared" si="0"/>
        <v>16.498333333333331</v>
      </c>
      <c r="L14" s="268">
        <f t="shared" si="1"/>
        <v>32.996666666666663</v>
      </c>
    </row>
    <row r="15" spans="1:13" ht="18" x14ac:dyDescent="0.35">
      <c r="A15" s="180">
        <v>5</v>
      </c>
      <c r="B15" s="359" t="s">
        <v>288</v>
      </c>
      <c r="C15" s="181" t="s">
        <v>275</v>
      </c>
      <c r="D15" s="348">
        <v>1</v>
      </c>
      <c r="E15" s="414">
        <v>7</v>
      </c>
      <c r="F15" s="414">
        <v>9</v>
      </c>
      <c r="G15" s="414">
        <v>8</v>
      </c>
      <c r="H15" s="414">
        <v>8</v>
      </c>
      <c r="I15" s="414">
        <v>7</v>
      </c>
      <c r="J15" s="414">
        <v>4.62</v>
      </c>
      <c r="K15" s="267">
        <f t="shared" si="0"/>
        <v>7.27</v>
      </c>
      <c r="L15" s="268">
        <f t="shared" si="1"/>
        <v>7.27</v>
      </c>
      <c r="M15" s="208"/>
    </row>
    <row r="16" spans="1:13" x14ac:dyDescent="0.2">
      <c r="A16" s="180">
        <v>6</v>
      </c>
      <c r="B16" s="359" t="s">
        <v>289</v>
      </c>
      <c r="C16" s="199" t="s">
        <v>275</v>
      </c>
      <c r="D16" s="340">
        <v>1</v>
      </c>
      <c r="E16" s="414">
        <v>12.05</v>
      </c>
      <c r="F16" s="414">
        <v>18.8</v>
      </c>
      <c r="G16" s="414">
        <v>13.45</v>
      </c>
      <c r="H16" s="414">
        <v>14</v>
      </c>
      <c r="I16" s="414">
        <v>12</v>
      </c>
      <c r="J16" s="414">
        <v>13.72</v>
      </c>
      <c r="K16" s="267">
        <f t="shared" si="0"/>
        <v>14.003333333333332</v>
      </c>
      <c r="L16" s="268">
        <f t="shared" si="1"/>
        <v>14.003333333333332</v>
      </c>
    </row>
    <row r="17" spans="1:12" x14ac:dyDescent="0.2">
      <c r="A17" s="180">
        <v>7</v>
      </c>
      <c r="B17" s="359" t="s">
        <v>290</v>
      </c>
      <c r="C17" s="199" t="s">
        <v>286</v>
      </c>
      <c r="D17" s="340">
        <v>2</v>
      </c>
      <c r="E17" s="418">
        <v>42.55</v>
      </c>
      <c r="F17" s="418">
        <v>57.42</v>
      </c>
      <c r="G17" s="418">
        <v>56.09</v>
      </c>
      <c r="H17" s="418">
        <v>40.590000000000003</v>
      </c>
      <c r="I17" s="419">
        <v>53</v>
      </c>
      <c r="J17" s="419">
        <v>56.6</v>
      </c>
      <c r="K17" s="267">
        <f t="shared" si="0"/>
        <v>51.041666666666664</v>
      </c>
      <c r="L17" s="268">
        <f t="shared" si="1"/>
        <v>102.08333333333333</v>
      </c>
    </row>
    <row r="18" spans="1:12" ht="89.25" x14ac:dyDescent="0.2">
      <c r="A18" s="180">
        <v>8</v>
      </c>
      <c r="B18" s="394" t="s">
        <v>291</v>
      </c>
      <c r="C18" s="242" t="s">
        <v>283</v>
      </c>
      <c r="D18" s="347">
        <v>2</v>
      </c>
      <c r="E18" s="416">
        <v>1.45</v>
      </c>
      <c r="F18" s="416">
        <v>3.69</v>
      </c>
      <c r="G18" s="416">
        <v>1.55</v>
      </c>
      <c r="H18" s="416">
        <v>2</v>
      </c>
      <c r="I18" s="417">
        <v>2.85</v>
      </c>
      <c r="J18" s="417">
        <v>1.6</v>
      </c>
      <c r="K18" s="267">
        <f t="shared" si="0"/>
        <v>2.19</v>
      </c>
      <c r="L18" s="268">
        <f t="shared" si="1"/>
        <v>4.38</v>
      </c>
    </row>
    <row r="19" spans="1:12" ht="13.5" thickBot="1" x14ac:dyDescent="0.25">
      <c r="A19" s="581" t="s">
        <v>292</v>
      </c>
      <c r="B19" s="582"/>
      <c r="C19" s="582"/>
      <c r="D19" s="583"/>
      <c r="E19" s="182"/>
      <c r="F19" s="183"/>
      <c r="G19" s="183"/>
      <c r="H19" s="183"/>
      <c r="I19" s="183"/>
      <c r="J19" s="184"/>
      <c r="K19" s="584">
        <f>SUM(L11:L18)</f>
        <v>485.21</v>
      </c>
      <c r="L19" s="585"/>
    </row>
    <row r="20" spans="1:12" ht="13.5" thickBot="1" x14ac:dyDescent="0.25">
      <c r="K20" s="209"/>
      <c r="L20" s="209"/>
    </row>
    <row r="21" spans="1:12" ht="13.5" thickBot="1" x14ac:dyDescent="0.25">
      <c r="A21" s="581" t="s">
        <v>293</v>
      </c>
      <c r="B21" s="582"/>
      <c r="C21" s="582"/>
      <c r="D21" s="582"/>
      <c r="E21" s="582"/>
      <c r="F21" s="582"/>
      <c r="G21" s="582"/>
      <c r="H21" s="582"/>
      <c r="I21" s="582"/>
      <c r="J21" s="583"/>
      <c r="K21" s="586">
        <f>K19/12</f>
        <v>40.434166666666663</v>
      </c>
      <c r="L21" s="587"/>
    </row>
    <row r="22" spans="1:12" x14ac:dyDescent="0.2">
      <c r="K22" s="209"/>
      <c r="L22" s="209"/>
    </row>
    <row r="23" spans="1:12" ht="13.5" thickBot="1" x14ac:dyDescent="0.25">
      <c r="A23" s="57"/>
      <c r="K23" s="209"/>
      <c r="L23" s="210"/>
    </row>
    <row r="24" spans="1:12" ht="15.75" thickBot="1" x14ac:dyDescent="0.25">
      <c r="A24" s="588" t="s">
        <v>294</v>
      </c>
      <c r="B24" s="589"/>
      <c r="C24" s="589"/>
      <c r="D24" s="589"/>
      <c r="E24" s="589"/>
      <c r="F24" s="589"/>
      <c r="G24" s="589"/>
      <c r="H24" s="589"/>
      <c r="I24" s="589"/>
      <c r="J24" s="589"/>
      <c r="K24" s="590">
        <f>K21</f>
        <v>40.434166666666663</v>
      </c>
      <c r="L24" s="591"/>
    </row>
    <row r="26" spans="1:12" ht="13.5" thickBot="1" x14ac:dyDescent="0.25"/>
    <row r="27" spans="1:12" x14ac:dyDescent="0.2">
      <c r="A27" s="639"/>
      <c r="B27" s="640"/>
      <c r="C27" s="645" t="s">
        <v>295</v>
      </c>
      <c r="D27" s="648"/>
      <c r="E27" s="649"/>
      <c r="F27" s="649"/>
      <c r="G27" s="649"/>
      <c r="H27" s="649"/>
      <c r="I27" s="649"/>
      <c r="J27" s="649"/>
      <c r="K27" s="649"/>
      <c r="L27" s="650"/>
    </row>
    <row r="28" spans="1:12" x14ac:dyDescent="0.2">
      <c r="A28" s="641"/>
      <c r="B28" s="642"/>
      <c r="C28" s="646"/>
      <c r="D28" s="651"/>
      <c r="E28" s="652"/>
      <c r="F28" s="652"/>
      <c r="G28" s="652"/>
      <c r="H28" s="652"/>
      <c r="I28" s="652"/>
      <c r="J28" s="652"/>
      <c r="K28" s="652"/>
      <c r="L28" s="653"/>
    </row>
    <row r="29" spans="1:12" x14ac:dyDescent="0.2">
      <c r="A29" s="641"/>
      <c r="B29" s="642"/>
      <c r="C29" s="646"/>
      <c r="D29" s="651"/>
      <c r="E29" s="652"/>
      <c r="F29" s="652"/>
      <c r="G29" s="652"/>
      <c r="H29" s="652"/>
      <c r="I29" s="652"/>
      <c r="J29" s="652"/>
      <c r="K29" s="652"/>
      <c r="L29" s="653"/>
    </row>
    <row r="30" spans="1:12" ht="13.5" thickBot="1" x14ac:dyDescent="0.25">
      <c r="A30" s="643"/>
      <c r="B30" s="644"/>
      <c r="C30" s="647"/>
      <c r="D30" s="654"/>
      <c r="E30" s="655"/>
      <c r="F30" s="655"/>
      <c r="G30" s="655"/>
      <c r="H30" s="655"/>
      <c r="I30" s="655"/>
      <c r="J30" s="655"/>
      <c r="K30" s="655"/>
      <c r="L30" s="656"/>
    </row>
    <row r="32" spans="1:12" ht="13.5" thickBot="1" x14ac:dyDescent="0.25"/>
    <row r="33" spans="1:12" x14ac:dyDescent="0.2">
      <c r="A33" s="657" t="s">
        <v>296</v>
      </c>
      <c r="B33" s="658"/>
      <c r="C33" s="658"/>
      <c r="D33" s="658"/>
      <c r="E33" s="658"/>
      <c r="F33" s="658"/>
      <c r="G33" s="658"/>
      <c r="H33" s="658"/>
      <c r="I33" s="658"/>
      <c r="J33" s="658"/>
      <c r="K33" s="658"/>
      <c r="L33" s="659"/>
    </row>
    <row r="34" spans="1:12" x14ac:dyDescent="0.2">
      <c r="A34" s="660"/>
      <c r="B34" s="579"/>
      <c r="C34" s="579"/>
      <c r="D34" s="579"/>
      <c r="E34" s="579"/>
      <c r="F34" s="579"/>
      <c r="G34" s="579"/>
      <c r="H34" s="579"/>
      <c r="I34" s="579"/>
      <c r="J34" s="579"/>
      <c r="K34" s="579"/>
      <c r="L34" s="661"/>
    </row>
    <row r="35" spans="1:12" x14ac:dyDescent="0.2">
      <c r="A35" s="660"/>
      <c r="B35" s="579"/>
      <c r="C35" s="579"/>
      <c r="D35" s="579"/>
      <c r="E35" s="579"/>
      <c r="F35" s="579"/>
      <c r="G35" s="579"/>
      <c r="H35" s="579"/>
      <c r="I35" s="579"/>
      <c r="J35" s="579"/>
      <c r="K35" s="579"/>
      <c r="L35" s="661"/>
    </row>
    <row r="36" spans="1:12" x14ac:dyDescent="0.2">
      <c r="A36" s="660"/>
      <c r="B36" s="579"/>
      <c r="C36" s="579"/>
      <c r="D36" s="579"/>
      <c r="E36" s="579"/>
      <c r="F36" s="579"/>
      <c r="G36" s="579"/>
      <c r="H36" s="579"/>
      <c r="I36" s="579"/>
      <c r="J36" s="579"/>
      <c r="K36" s="579"/>
      <c r="L36" s="661"/>
    </row>
    <row r="37" spans="1:12" ht="13.5" thickBot="1" x14ac:dyDescent="0.25">
      <c r="A37" s="662"/>
      <c r="B37" s="663"/>
      <c r="C37" s="663"/>
      <c r="D37" s="663"/>
      <c r="E37" s="663"/>
      <c r="F37" s="663"/>
      <c r="G37" s="663"/>
      <c r="H37" s="663"/>
      <c r="I37" s="663"/>
      <c r="J37" s="663"/>
      <c r="K37" s="663"/>
      <c r="L37" s="664"/>
    </row>
    <row r="38" spans="1:12" ht="13.5" thickBot="1" x14ac:dyDescent="0.25"/>
    <row r="39" spans="1:12" x14ac:dyDescent="0.2">
      <c r="A39" s="665" t="s">
        <v>297</v>
      </c>
      <c r="B39" s="666"/>
      <c r="C39" s="666"/>
      <c r="D39" s="666"/>
      <c r="E39" s="666"/>
      <c r="F39" s="666"/>
      <c r="G39" s="666"/>
      <c r="H39" s="667"/>
    </row>
    <row r="40" spans="1:12" x14ac:dyDescent="0.2">
      <c r="A40" s="668"/>
      <c r="B40" s="669"/>
      <c r="C40" s="669"/>
      <c r="D40" s="669"/>
      <c r="E40" s="669"/>
      <c r="F40" s="669"/>
      <c r="G40" s="669"/>
      <c r="H40" s="670"/>
    </row>
    <row r="41" spans="1:12" x14ac:dyDescent="0.2">
      <c r="A41" s="668"/>
      <c r="B41" s="669"/>
      <c r="C41" s="669"/>
      <c r="D41" s="669"/>
      <c r="E41" s="669"/>
      <c r="F41" s="669"/>
      <c r="G41" s="669"/>
      <c r="H41" s="670"/>
    </row>
    <row r="42" spans="1:12" ht="13.5" thickBot="1" x14ac:dyDescent="0.25">
      <c r="A42" s="671"/>
      <c r="B42" s="672"/>
      <c r="C42" s="672"/>
      <c r="D42" s="672"/>
      <c r="E42" s="672"/>
      <c r="F42" s="672"/>
      <c r="G42" s="672"/>
      <c r="H42" s="673"/>
    </row>
  </sheetData>
  <mergeCells count="38">
    <mergeCell ref="A27:B30"/>
    <mergeCell ref="C27:C30"/>
    <mergeCell ref="D27:L30"/>
    <mergeCell ref="A33:L37"/>
    <mergeCell ref="A39:H42"/>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9:D19"/>
    <mergeCell ref="K19:L19"/>
    <mergeCell ref="A21:J21"/>
    <mergeCell ref="K21:L21"/>
    <mergeCell ref="A24:J24"/>
    <mergeCell ref="K24:L24"/>
  </mergeCells>
  <pageMargins left="0.511811024" right="0.511811024" top="0.78740157499999996" bottom="0.78740157499999996" header="0.31496062000000002" footer="0.31496062000000002"/>
  <pageSetup paperSize="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68"/>
  <sheetViews>
    <sheetView zoomScale="85" zoomScaleNormal="85" workbookViewId="0">
      <selection sqref="A1:L1"/>
    </sheetView>
  </sheetViews>
  <sheetFormatPr defaultRowHeight="12.75" x14ac:dyDescent="0.2"/>
  <cols>
    <col min="1" max="1" width="3.7109375" style="185" bestFit="1" customWidth="1"/>
    <col min="2" max="2" width="47.7109375" customWidth="1"/>
    <col min="3" max="3" width="9" customWidth="1"/>
    <col min="4" max="4" width="9.140625" customWidth="1"/>
    <col min="5" max="5" width="9.5703125" bestFit="1" customWidth="1"/>
    <col min="6" max="6" width="10.85546875" customWidth="1"/>
    <col min="7" max="7" width="9.5703125" bestFit="1" customWidth="1"/>
    <col min="8" max="8" width="10.42578125" bestFit="1" customWidth="1"/>
    <col min="9" max="9" width="9.140625"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1" customHeight="1" thickBot="1" x14ac:dyDescent="0.25">
      <c r="A1" s="592" t="s">
        <v>298</v>
      </c>
      <c r="B1" s="593"/>
      <c r="C1" s="593"/>
      <c r="D1" s="593"/>
      <c r="E1" s="593"/>
      <c r="F1" s="593"/>
      <c r="G1" s="593"/>
      <c r="H1" s="593"/>
      <c r="I1" s="593"/>
      <c r="J1" s="593"/>
      <c r="K1" s="593"/>
      <c r="L1" s="594"/>
    </row>
    <row r="2" spans="1:12" ht="12.95" customHeight="1" x14ac:dyDescent="0.2">
      <c r="A2" s="230" t="s">
        <v>37</v>
      </c>
      <c r="B2" s="690" t="s">
        <v>299</v>
      </c>
      <c r="C2" s="595"/>
      <c r="D2" s="595"/>
      <c r="E2" s="240" t="s">
        <v>267</v>
      </c>
      <c r="F2" s="691"/>
      <c r="G2" s="692"/>
      <c r="H2" s="692"/>
      <c r="I2" s="692"/>
      <c r="J2" s="240" t="s">
        <v>268</v>
      </c>
      <c r="K2" s="595" t="s">
        <v>300</v>
      </c>
      <c r="L2" s="596"/>
    </row>
    <row r="3" spans="1:12" ht="12.95" customHeight="1" x14ac:dyDescent="0.2">
      <c r="A3" s="231" t="s">
        <v>39</v>
      </c>
      <c r="B3" s="689" t="s">
        <v>301</v>
      </c>
      <c r="C3" s="601"/>
      <c r="D3" s="601"/>
      <c r="E3" s="171" t="s">
        <v>267</v>
      </c>
      <c r="F3" s="603"/>
      <c r="G3" s="607"/>
      <c r="H3" s="607"/>
      <c r="I3" s="607"/>
      <c r="J3" s="171" t="s">
        <v>268</v>
      </c>
      <c r="K3" s="601" t="s">
        <v>302</v>
      </c>
      <c r="L3" s="602"/>
    </row>
    <row r="4" spans="1:12" ht="12.95" customHeight="1" x14ac:dyDescent="0.2">
      <c r="A4" s="232" t="s">
        <v>41</v>
      </c>
      <c r="B4" s="681" t="s">
        <v>303</v>
      </c>
      <c r="C4" s="599"/>
      <c r="D4" s="599"/>
      <c r="E4" s="172" t="s">
        <v>267</v>
      </c>
      <c r="F4" s="604"/>
      <c r="G4" s="688"/>
      <c r="H4" s="688"/>
      <c r="I4" s="688"/>
      <c r="J4" s="172" t="s">
        <v>268</v>
      </c>
      <c r="K4" s="599" t="s">
        <v>304</v>
      </c>
      <c r="L4" s="600"/>
    </row>
    <row r="5" spans="1:12" x14ac:dyDescent="0.2">
      <c r="A5" s="186" t="s">
        <v>44</v>
      </c>
      <c r="B5" s="689"/>
      <c r="C5" s="601"/>
      <c r="D5" s="601"/>
      <c r="E5" s="171" t="s">
        <v>267</v>
      </c>
      <c r="F5" s="603"/>
      <c r="G5" s="597"/>
      <c r="H5" s="597"/>
      <c r="I5" s="597"/>
      <c r="J5" s="171" t="s">
        <v>268</v>
      </c>
      <c r="K5" s="601"/>
      <c r="L5" s="602"/>
    </row>
    <row r="6" spans="1:12" x14ac:dyDescent="0.2">
      <c r="A6" s="187" t="s">
        <v>76</v>
      </c>
      <c r="B6" s="681"/>
      <c r="C6" s="599"/>
      <c r="D6" s="599"/>
      <c r="E6" s="172" t="s">
        <v>267</v>
      </c>
      <c r="F6" s="604"/>
      <c r="G6" s="599"/>
      <c r="H6" s="599"/>
      <c r="I6" s="599"/>
      <c r="J6" s="172" t="s">
        <v>268</v>
      </c>
      <c r="K6" s="599"/>
      <c r="L6" s="600"/>
    </row>
    <row r="7" spans="1:12" ht="13.5" thickBot="1" x14ac:dyDescent="0.25">
      <c r="A7" s="188" t="s">
        <v>78</v>
      </c>
      <c r="B7" s="682"/>
      <c r="C7" s="683"/>
      <c r="D7" s="683"/>
      <c r="E7" s="173" t="s">
        <v>267</v>
      </c>
      <c r="F7" s="684"/>
      <c r="G7" s="685"/>
      <c r="H7" s="685"/>
      <c r="I7" s="686"/>
      <c r="J7" s="174" t="s">
        <v>268</v>
      </c>
      <c r="K7" s="683"/>
      <c r="L7" s="687"/>
    </row>
    <row r="8" spans="1:12" x14ac:dyDescent="0.2">
      <c r="A8" s="612" t="s">
        <v>273</v>
      </c>
      <c r="B8" s="615" t="s">
        <v>305</v>
      </c>
      <c r="C8" s="618" t="s">
        <v>275</v>
      </c>
      <c r="D8" s="621" t="s">
        <v>276</v>
      </c>
      <c r="E8" s="624" t="s">
        <v>277</v>
      </c>
      <c r="F8" s="625"/>
      <c r="G8" s="625"/>
      <c r="H8" s="625"/>
      <c r="I8" s="625"/>
      <c r="J8" s="626"/>
      <c r="K8" s="627" t="s">
        <v>278</v>
      </c>
      <c r="L8" s="628"/>
    </row>
    <row r="9" spans="1:12" ht="13.5" x14ac:dyDescent="0.2">
      <c r="A9" s="613"/>
      <c r="B9" s="677"/>
      <c r="C9" s="619"/>
      <c r="D9" s="622"/>
      <c r="E9" s="175" t="s">
        <v>37</v>
      </c>
      <c r="F9" s="176" t="s">
        <v>39</v>
      </c>
      <c r="G9" s="176" t="s">
        <v>41</v>
      </c>
      <c r="H9" s="176" t="s">
        <v>44</v>
      </c>
      <c r="I9" s="176" t="s">
        <v>76</v>
      </c>
      <c r="J9" s="177" t="s">
        <v>78</v>
      </c>
      <c r="K9" s="629" t="s">
        <v>279</v>
      </c>
      <c r="L9" s="631" t="s">
        <v>280</v>
      </c>
    </row>
    <row r="10" spans="1:12" ht="20.25" customHeight="1" x14ac:dyDescent="0.2">
      <c r="A10" s="676"/>
      <c r="B10" s="678"/>
      <c r="C10" s="679"/>
      <c r="D10" s="680"/>
      <c r="E10" s="194" t="s">
        <v>281</v>
      </c>
      <c r="F10" s="195" t="s">
        <v>281</v>
      </c>
      <c r="G10" s="195" t="s">
        <v>281</v>
      </c>
      <c r="H10" s="195" t="s">
        <v>281</v>
      </c>
      <c r="I10" s="195" t="s">
        <v>281</v>
      </c>
      <c r="J10" s="196" t="s">
        <v>281</v>
      </c>
      <c r="K10" s="674"/>
      <c r="L10" s="675"/>
    </row>
    <row r="11" spans="1:12" s="179" customFormat="1" x14ac:dyDescent="0.2">
      <c r="A11" s="255">
        <v>1</v>
      </c>
      <c r="B11" s="379" t="s">
        <v>306</v>
      </c>
      <c r="C11" s="361" t="s">
        <v>307</v>
      </c>
      <c r="D11" s="362">
        <v>3</v>
      </c>
      <c r="E11" s="409">
        <v>8.09</v>
      </c>
      <c r="F11" s="409">
        <v>7.55</v>
      </c>
      <c r="G11" s="410">
        <v>8.14</v>
      </c>
      <c r="H11" s="410">
        <v>8.4</v>
      </c>
      <c r="I11" s="410">
        <v>7.99</v>
      </c>
      <c r="J11" s="410">
        <v>8.73</v>
      </c>
      <c r="K11" s="259">
        <f>AVERAGE(E11:J11)</f>
        <v>8.15</v>
      </c>
      <c r="L11" s="260">
        <f>K11*D11</f>
        <v>24.450000000000003</v>
      </c>
    </row>
    <row r="12" spans="1:12" s="179" customFormat="1" ht="63.75" x14ac:dyDescent="0.2">
      <c r="A12" s="254">
        <v>2</v>
      </c>
      <c r="B12" s="380" t="s">
        <v>308</v>
      </c>
      <c r="C12" s="360" t="s">
        <v>309</v>
      </c>
      <c r="D12" s="363">
        <v>1</v>
      </c>
      <c r="E12" s="395">
        <v>15</v>
      </c>
      <c r="F12" s="395">
        <v>17</v>
      </c>
      <c r="G12" s="412">
        <v>18.25</v>
      </c>
      <c r="H12" s="412">
        <v>19.8</v>
      </c>
      <c r="I12" s="412">
        <v>25.39</v>
      </c>
      <c r="J12" s="412">
        <v>21.58</v>
      </c>
      <c r="K12" s="259">
        <f>AVERAGE(E12:J12)</f>
        <v>19.503333333333334</v>
      </c>
      <c r="L12" s="261">
        <f>K12*D12</f>
        <v>19.503333333333334</v>
      </c>
    </row>
    <row r="13" spans="1:12" s="179" customFormat="1" ht="51" x14ac:dyDescent="0.2">
      <c r="A13" s="254">
        <v>3</v>
      </c>
      <c r="B13" s="381" t="s">
        <v>310</v>
      </c>
      <c r="C13" s="360" t="s">
        <v>309</v>
      </c>
      <c r="D13" s="363">
        <v>1</v>
      </c>
      <c r="E13" s="395">
        <v>13.15</v>
      </c>
      <c r="F13" s="395">
        <v>12.65</v>
      </c>
      <c r="G13" s="412">
        <v>13.11</v>
      </c>
      <c r="H13" s="412">
        <v>25.93</v>
      </c>
      <c r="I13" s="412">
        <v>18.899999999999999</v>
      </c>
      <c r="J13" s="412">
        <v>35.479999999999997</v>
      </c>
      <c r="K13" s="262">
        <f>AVERAGE(E13:J13)</f>
        <v>19.87</v>
      </c>
      <c r="L13" s="261">
        <f>K13*D13</f>
        <v>19.87</v>
      </c>
    </row>
    <row r="14" spans="1:12" s="179" customFormat="1" ht="61.5" customHeight="1" x14ac:dyDescent="0.2">
      <c r="A14" s="254">
        <v>4</v>
      </c>
      <c r="B14" s="381" t="s">
        <v>311</v>
      </c>
      <c r="C14" s="360" t="s">
        <v>309</v>
      </c>
      <c r="D14" s="363">
        <v>1</v>
      </c>
      <c r="E14" s="395">
        <v>20</v>
      </c>
      <c r="F14" s="395">
        <v>28.9</v>
      </c>
      <c r="G14" s="412">
        <v>29</v>
      </c>
      <c r="H14" s="412">
        <v>32.99</v>
      </c>
      <c r="I14" s="412">
        <v>25.75</v>
      </c>
      <c r="J14" s="412">
        <v>35.25</v>
      </c>
      <c r="K14" s="262">
        <f t="shared" ref="K14:K28" si="0">AVERAGE(E14:J14)</f>
        <v>28.648333333333337</v>
      </c>
      <c r="L14" s="261">
        <f>K14*D14</f>
        <v>28.648333333333337</v>
      </c>
    </row>
    <row r="15" spans="1:12" s="179" customFormat="1" ht="48" customHeight="1" x14ac:dyDescent="0.2">
      <c r="A15" s="254">
        <v>5</v>
      </c>
      <c r="B15" s="381" t="s">
        <v>312</v>
      </c>
      <c r="C15" s="390" t="s">
        <v>313</v>
      </c>
      <c r="D15" s="363">
        <v>5</v>
      </c>
      <c r="E15" s="395">
        <v>3.49</v>
      </c>
      <c r="F15" s="395">
        <v>1.89</v>
      </c>
      <c r="G15" s="412">
        <v>1.99</v>
      </c>
      <c r="H15" s="412">
        <v>2</v>
      </c>
      <c r="I15" s="412">
        <v>2.2999999999999998</v>
      </c>
      <c r="J15" s="412">
        <v>2.5</v>
      </c>
      <c r="K15" s="262">
        <f t="shared" si="0"/>
        <v>2.3616666666666668</v>
      </c>
      <c r="L15" s="261">
        <f t="shared" ref="L15:L28" si="1">K15*D15</f>
        <v>11.808333333333334</v>
      </c>
    </row>
    <row r="16" spans="1:12" s="179" customFormat="1" ht="63.75" x14ac:dyDescent="0.2">
      <c r="A16" s="255">
        <v>6</v>
      </c>
      <c r="B16" s="381" t="s">
        <v>314</v>
      </c>
      <c r="C16" s="360" t="s">
        <v>51</v>
      </c>
      <c r="D16" s="363">
        <v>5</v>
      </c>
      <c r="E16" s="395">
        <v>1.56</v>
      </c>
      <c r="F16" s="395">
        <v>1.6</v>
      </c>
      <c r="G16" s="412">
        <v>2.5</v>
      </c>
      <c r="H16" s="412">
        <v>2.94</v>
      </c>
      <c r="I16" s="412">
        <v>1.75</v>
      </c>
      <c r="J16" s="412">
        <v>2.9</v>
      </c>
      <c r="K16" s="262">
        <f>AVERAGE(E16:J16)</f>
        <v>2.2083333333333335</v>
      </c>
      <c r="L16" s="261">
        <f>K16*D16</f>
        <v>11.041666666666668</v>
      </c>
    </row>
    <row r="17" spans="1:13" s="179" customFormat="1" ht="75.75" customHeight="1" x14ac:dyDescent="0.2">
      <c r="A17" s="254">
        <v>7</v>
      </c>
      <c r="B17" s="381" t="s">
        <v>315</v>
      </c>
      <c r="C17" s="360" t="s">
        <v>51</v>
      </c>
      <c r="D17" s="363">
        <v>3</v>
      </c>
      <c r="E17" s="395">
        <v>3.8</v>
      </c>
      <c r="F17" s="395">
        <v>2.99</v>
      </c>
      <c r="G17" s="412">
        <v>3.85</v>
      </c>
      <c r="H17" s="412">
        <v>3.9</v>
      </c>
      <c r="I17" s="412">
        <v>3.95</v>
      </c>
      <c r="J17" s="412">
        <v>2.99</v>
      </c>
      <c r="K17" s="262">
        <f t="shared" si="0"/>
        <v>3.5800000000000005</v>
      </c>
      <c r="L17" s="261">
        <f t="shared" si="1"/>
        <v>10.740000000000002</v>
      </c>
    </row>
    <row r="18" spans="1:13" s="179" customFormat="1" ht="51" x14ac:dyDescent="0.2">
      <c r="A18" s="254">
        <v>8</v>
      </c>
      <c r="B18" s="381" t="s">
        <v>316</v>
      </c>
      <c r="C18" s="360" t="s">
        <v>51</v>
      </c>
      <c r="D18" s="363">
        <v>2</v>
      </c>
      <c r="E18" s="395">
        <v>10.93</v>
      </c>
      <c r="F18" s="395">
        <v>7.97</v>
      </c>
      <c r="G18" s="412">
        <v>8.9499999999999993</v>
      </c>
      <c r="H18" s="412">
        <v>12.19</v>
      </c>
      <c r="I18" s="412">
        <v>11.49</v>
      </c>
      <c r="J18" s="412">
        <v>6.25</v>
      </c>
      <c r="K18" s="262">
        <f t="shared" si="0"/>
        <v>9.6300000000000008</v>
      </c>
      <c r="L18" s="261">
        <f t="shared" si="1"/>
        <v>19.260000000000002</v>
      </c>
    </row>
    <row r="19" spans="1:13" s="179" customFormat="1" ht="63.75" customHeight="1" x14ac:dyDescent="0.2">
      <c r="A19" s="254">
        <v>9</v>
      </c>
      <c r="B19" s="381" t="s">
        <v>317</v>
      </c>
      <c r="C19" s="360" t="s">
        <v>51</v>
      </c>
      <c r="D19" s="363">
        <v>1</v>
      </c>
      <c r="E19" s="395">
        <v>14.08</v>
      </c>
      <c r="F19" s="395">
        <v>13.85</v>
      </c>
      <c r="G19" s="412">
        <v>12.9</v>
      </c>
      <c r="H19" s="412">
        <v>12</v>
      </c>
      <c r="I19" s="412">
        <v>13.94</v>
      </c>
      <c r="J19" s="412">
        <v>15.56</v>
      </c>
      <c r="K19" s="262">
        <f>AVERAGE(E19:J19)</f>
        <v>13.721666666666666</v>
      </c>
      <c r="L19" s="261">
        <f>K19*D19</f>
        <v>13.721666666666666</v>
      </c>
    </row>
    <row r="20" spans="1:13" s="179" customFormat="1" ht="35.25" customHeight="1" x14ac:dyDescent="0.2">
      <c r="A20" s="254">
        <v>10</v>
      </c>
      <c r="B20" s="381" t="s">
        <v>318</v>
      </c>
      <c r="C20" s="360" t="s">
        <v>51</v>
      </c>
      <c r="D20" s="363">
        <v>5</v>
      </c>
      <c r="E20" s="395">
        <v>8.9499999999999993</v>
      </c>
      <c r="F20" s="395">
        <v>13.9</v>
      </c>
      <c r="G20" s="412">
        <v>11.25</v>
      </c>
      <c r="H20" s="412">
        <v>10.9</v>
      </c>
      <c r="I20" s="412">
        <v>11.49</v>
      </c>
      <c r="J20" s="412">
        <v>6.49</v>
      </c>
      <c r="K20" s="262">
        <f t="shared" si="0"/>
        <v>10.496666666666668</v>
      </c>
      <c r="L20" s="261">
        <f>K20*D20</f>
        <v>52.483333333333341</v>
      </c>
    </row>
    <row r="21" spans="1:13" s="179" customFormat="1" ht="60" customHeight="1" x14ac:dyDescent="0.2">
      <c r="A21" s="255">
        <v>11</v>
      </c>
      <c r="B21" s="401" t="s">
        <v>319</v>
      </c>
      <c r="C21" s="391" t="s">
        <v>320</v>
      </c>
      <c r="D21" s="392">
        <v>11</v>
      </c>
      <c r="E21" s="411">
        <v>6.85</v>
      </c>
      <c r="F21" s="411">
        <v>8.66</v>
      </c>
      <c r="G21" s="411">
        <v>7.23</v>
      </c>
      <c r="H21" s="395">
        <v>7.74</v>
      </c>
      <c r="I21" s="395">
        <v>9.1999999999999993</v>
      </c>
      <c r="J21" s="395">
        <v>6.59</v>
      </c>
      <c r="K21" s="262">
        <f t="shared" si="0"/>
        <v>7.7116666666666687</v>
      </c>
      <c r="L21" s="261">
        <f t="shared" si="1"/>
        <v>84.828333333333362</v>
      </c>
    </row>
    <row r="22" spans="1:13" s="179" customFormat="1" ht="101.25" customHeight="1" x14ac:dyDescent="0.2">
      <c r="A22" s="254">
        <v>12</v>
      </c>
      <c r="B22" s="402" t="s">
        <v>321</v>
      </c>
      <c r="C22" s="391" t="s">
        <v>320</v>
      </c>
      <c r="D22" s="392">
        <v>11</v>
      </c>
      <c r="E22" s="411">
        <v>9.9</v>
      </c>
      <c r="F22" s="411">
        <v>9.7899999999999991</v>
      </c>
      <c r="G22" s="411">
        <v>8.1</v>
      </c>
      <c r="H22" s="411"/>
      <c r="I22" s="411"/>
      <c r="J22" s="411"/>
      <c r="K22" s="262">
        <f t="shared" si="0"/>
        <v>9.2633333333333336</v>
      </c>
      <c r="L22" s="261">
        <f t="shared" si="1"/>
        <v>101.89666666666668</v>
      </c>
      <c r="M22" s="29"/>
    </row>
    <row r="23" spans="1:13" s="179" customFormat="1" ht="63" customHeight="1" x14ac:dyDescent="0.2">
      <c r="A23" s="254">
        <v>13</v>
      </c>
      <c r="B23" s="381" t="s">
        <v>322</v>
      </c>
      <c r="C23" s="360" t="s">
        <v>51</v>
      </c>
      <c r="D23" s="363">
        <v>1</v>
      </c>
      <c r="E23" s="395">
        <v>11.15</v>
      </c>
      <c r="F23" s="395">
        <v>11.5</v>
      </c>
      <c r="G23" s="412">
        <v>11.75</v>
      </c>
      <c r="H23" s="412">
        <v>18.3</v>
      </c>
      <c r="I23" s="412">
        <v>16.989999999999998</v>
      </c>
      <c r="J23" s="412">
        <v>13.16</v>
      </c>
      <c r="K23" s="262">
        <f t="shared" si="0"/>
        <v>13.808333333333332</v>
      </c>
      <c r="L23" s="261">
        <f t="shared" si="1"/>
        <v>13.808333333333332</v>
      </c>
    </row>
    <row r="24" spans="1:13" s="179" customFormat="1" ht="72" customHeight="1" x14ac:dyDescent="0.2">
      <c r="A24" s="254">
        <v>14</v>
      </c>
      <c r="B24" s="381" t="s">
        <v>323</v>
      </c>
      <c r="C24" s="360" t="s">
        <v>309</v>
      </c>
      <c r="D24" s="363">
        <v>1</v>
      </c>
      <c r="E24" s="395">
        <v>21.1</v>
      </c>
      <c r="F24" s="395">
        <v>28.9</v>
      </c>
      <c r="G24" s="412">
        <v>25.52</v>
      </c>
      <c r="H24" s="412">
        <v>33.9</v>
      </c>
      <c r="I24" s="412">
        <v>24.9</v>
      </c>
      <c r="J24" s="412">
        <v>25.99</v>
      </c>
      <c r="K24" s="262">
        <f t="shared" si="0"/>
        <v>26.718333333333334</v>
      </c>
      <c r="L24" s="261">
        <f t="shared" si="1"/>
        <v>26.718333333333334</v>
      </c>
    </row>
    <row r="25" spans="1:13" s="179" customFormat="1" x14ac:dyDescent="0.2">
      <c r="A25" s="254">
        <v>15</v>
      </c>
      <c r="B25" s="381" t="s">
        <v>324</v>
      </c>
      <c r="C25" s="360" t="s">
        <v>320</v>
      </c>
      <c r="D25" s="363">
        <v>1</v>
      </c>
      <c r="E25" s="395">
        <v>69.73</v>
      </c>
      <c r="F25" s="395">
        <v>62.9</v>
      </c>
      <c r="G25" s="395">
        <v>62.9</v>
      </c>
      <c r="H25" s="412">
        <v>81.400000000000006</v>
      </c>
      <c r="I25" s="413">
        <v>62.3</v>
      </c>
      <c r="J25" s="412">
        <v>65.59</v>
      </c>
      <c r="K25" s="262">
        <f t="shared" si="0"/>
        <v>67.470000000000013</v>
      </c>
      <c r="L25" s="261">
        <f t="shared" si="1"/>
        <v>67.470000000000013</v>
      </c>
    </row>
    <row r="26" spans="1:13" s="179" customFormat="1" x14ac:dyDescent="0.2">
      <c r="A26" s="255">
        <v>16</v>
      </c>
      <c r="B26" s="381" t="s">
        <v>325</v>
      </c>
      <c r="C26" s="360" t="s">
        <v>320</v>
      </c>
      <c r="D26" s="363">
        <v>1</v>
      </c>
      <c r="E26" s="395">
        <v>21.38</v>
      </c>
      <c r="F26" s="395">
        <v>28</v>
      </c>
      <c r="G26" s="412">
        <v>22</v>
      </c>
      <c r="H26" s="412">
        <v>28.58</v>
      </c>
      <c r="I26" s="412">
        <v>29.5</v>
      </c>
      <c r="J26" s="412">
        <v>27.25</v>
      </c>
      <c r="K26" s="262">
        <f>AVERAGE(E26:J26)</f>
        <v>26.118333333333329</v>
      </c>
      <c r="L26" s="261">
        <f t="shared" si="1"/>
        <v>26.118333333333329</v>
      </c>
    </row>
    <row r="27" spans="1:13" s="179" customFormat="1" ht="59.25" customHeight="1" x14ac:dyDescent="0.2">
      <c r="A27" s="254">
        <v>17</v>
      </c>
      <c r="B27" s="381" t="s">
        <v>326</v>
      </c>
      <c r="C27" s="360" t="s">
        <v>51</v>
      </c>
      <c r="D27" s="363">
        <v>4</v>
      </c>
      <c r="E27" s="395">
        <v>12.53</v>
      </c>
      <c r="F27" s="395">
        <v>8.9499999999999993</v>
      </c>
      <c r="G27" s="412">
        <v>8.9499999999999993</v>
      </c>
      <c r="H27" s="411"/>
      <c r="I27" s="411"/>
      <c r="J27" s="411"/>
      <c r="K27" s="262">
        <f t="shared" si="0"/>
        <v>10.143333333333333</v>
      </c>
      <c r="L27" s="261">
        <f t="shared" si="1"/>
        <v>40.573333333333331</v>
      </c>
    </row>
    <row r="28" spans="1:13" s="179" customFormat="1" ht="25.5" x14ac:dyDescent="0.2">
      <c r="A28" s="254">
        <v>18</v>
      </c>
      <c r="B28" s="382" t="s">
        <v>327</v>
      </c>
      <c r="C28" s="360" t="s">
        <v>51</v>
      </c>
      <c r="D28" s="363">
        <v>3</v>
      </c>
      <c r="E28" s="395">
        <v>30.46</v>
      </c>
      <c r="F28" s="395">
        <v>39.49</v>
      </c>
      <c r="G28" s="412">
        <v>35.32</v>
      </c>
      <c r="H28" s="411"/>
      <c r="I28" s="411"/>
      <c r="J28" s="411"/>
      <c r="K28" s="262">
        <f t="shared" si="0"/>
        <v>35.090000000000003</v>
      </c>
      <c r="L28" s="261">
        <f t="shared" si="1"/>
        <v>105.27000000000001</v>
      </c>
    </row>
    <row r="29" spans="1:13" s="179" customFormat="1" ht="38.25" x14ac:dyDescent="0.2">
      <c r="A29" s="254">
        <v>19</v>
      </c>
      <c r="B29" s="400" t="s">
        <v>328</v>
      </c>
      <c r="C29" s="404" t="s">
        <v>307</v>
      </c>
      <c r="D29" s="407">
        <v>1</v>
      </c>
      <c r="E29" s="384">
        <v>159</v>
      </c>
      <c r="F29" s="389">
        <v>128.69999999999999</v>
      </c>
      <c r="G29" s="389">
        <v>128.9</v>
      </c>
      <c r="H29" s="243">
        <v>118.88</v>
      </c>
      <c r="I29" s="243"/>
      <c r="J29" s="243"/>
      <c r="K29" s="262">
        <f t="shared" ref="K29:K30" si="2">AVERAGE(E29:J29)</f>
        <v>133.87</v>
      </c>
      <c r="L29" s="261">
        <f t="shared" ref="L29:L30" si="3">K29*D29</f>
        <v>133.87</v>
      </c>
    </row>
    <row r="30" spans="1:13" s="179" customFormat="1" x14ac:dyDescent="0.2">
      <c r="A30" s="254">
        <v>20</v>
      </c>
      <c r="B30" s="403" t="s">
        <v>329</v>
      </c>
      <c r="C30" s="388" t="s">
        <v>51</v>
      </c>
      <c r="D30" s="408">
        <v>1</v>
      </c>
      <c r="E30" s="384">
        <v>3.76</v>
      </c>
      <c r="F30" s="389">
        <v>3.4</v>
      </c>
      <c r="G30" s="389">
        <v>3.8</v>
      </c>
      <c r="H30" s="243">
        <v>3.49</v>
      </c>
      <c r="I30" s="243">
        <v>3.79</v>
      </c>
      <c r="J30" s="243">
        <v>3.96</v>
      </c>
      <c r="K30" s="262">
        <f t="shared" si="2"/>
        <v>3.7000000000000006</v>
      </c>
      <c r="L30" s="261">
        <f t="shared" si="3"/>
        <v>3.7000000000000006</v>
      </c>
    </row>
    <row r="31" spans="1:13" s="179" customFormat="1" x14ac:dyDescent="0.2">
      <c r="A31" s="254">
        <v>21</v>
      </c>
      <c r="B31" s="403" t="s">
        <v>330</v>
      </c>
      <c r="C31" s="388" t="s">
        <v>331</v>
      </c>
      <c r="D31" s="408">
        <v>1</v>
      </c>
      <c r="E31" s="384">
        <v>5.8</v>
      </c>
      <c r="F31" s="389">
        <v>5.57</v>
      </c>
      <c r="G31" s="389">
        <v>5</v>
      </c>
      <c r="H31" s="243">
        <v>4.99</v>
      </c>
      <c r="I31" s="243">
        <v>5.65</v>
      </c>
      <c r="J31" s="243">
        <v>5.18</v>
      </c>
      <c r="K31" s="262">
        <f t="shared" ref="K31:K32" si="4">AVERAGE(E31:J31)</f>
        <v>5.3649999999999993</v>
      </c>
      <c r="L31" s="261">
        <f t="shared" ref="L31:L32" si="5">K31*D31</f>
        <v>5.3649999999999993</v>
      </c>
    </row>
    <row r="32" spans="1:13" s="179" customFormat="1" ht="53.25" customHeight="1" x14ac:dyDescent="0.2">
      <c r="A32" s="254">
        <v>22</v>
      </c>
      <c r="B32" s="403" t="s">
        <v>332</v>
      </c>
      <c r="C32" s="388" t="s">
        <v>51</v>
      </c>
      <c r="D32" s="408">
        <v>3</v>
      </c>
      <c r="E32" s="384">
        <v>15.4</v>
      </c>
      <c r="F32" s="389">
        <v>15</v>
      </c>
      <c r="G32" s="389">
        <v>14.38</v>
      </c>
      <c r="H32" s="243">
        <v>19.989999999999998</v>
      </c>
      <c r="I32" s="243">
        <v>17.29</v>
      </c>
      <c r="J32" s="243">
        <v>16.850000000000001</v>
      </c>
      <c r="K32" s="262">
        <f t="shared" si="4"/>
        <v>16.484999999999999</v>
      </c>
      <c r="L32" s="261">
        <f t="shared" si="5"/>
        <v>49.454999999999998</v>
      </c>
    </row>
    <row r="33" spans="1:12" ht="13.5" thickBot="1" x14ac:dyDescent="0.25">
      <c r="A33" s="693" t="s">
        <v>333</v>
      </c>
      <c r="B33" s="694"/>
      <c r="C33" s="694"/>
      <c r="D33" s="694"/>
      <c r="E33" s="694"/>
      <c r="F33" s="694"/>
      <c r="G33" s="694"/>
      <c r="H33" s="694"/>
      <c r="I33" s="694"/>
      <c r="J33" s="695"/>
      <c r="K33" s="696">
        <f>SUM(L11:L32)</f>
        <v>870.60000000000025</v>
      </c>
      <c r="L33" s="697"/>
    </row>
    <row r="34" spans="1:12" ht="13.5" thickBot="1" x14ac:dyDescent="0.25"/>
    <row r="35" spans="1:12" ht="13.5" thickBot="1" x14ac:dyDescent="0.25">
      <c r="A35" s="581" t="s">
        <v>334</v>
      </c>
      <c r="B35" s="582"/>
      <c r="C35" s="582"/>
      <c r="D35" s="582"/>
      <c r="E35" s="582"/>
      <c r="F35" s="582"/>
      <c r="G35" s="582"/>
      <c r="H35" s="582"/>
      <c r="I35" s="582"/>
      <c r="J35" s="583"/>
      <c r="K35" s="698">
        <f>K33/'Limpeza - Item 5'!H174</f>
        <v>870.60000000000025</v>
      </c>
      <c r="L35" s="699"/>
    </row>
    <row r="36" spans="1:12" x14ac:dyDescent="0.2">
      <c r="A36" s="200"/>
      <c r="B36" s="200"/>
      <c r="C36" s="200"/>
      <c r="D36" s="200"/>
      <c r="E36" s="200"/>
      <c r="F36" s="200"/>
      <c r="G36" s="200"/>
      <c r="H36" s="200"/>
      <c r="I36" s="200"/>
      <c r="J36" s="200"/>
      <c r="K36" s="201"/>
      <c r="L36" s="201"/>
    </row>
    <row r="38" spans="1:12" ht="13.5" thickBot="1" x14ac:dyDescent="0.25"/>
    <row r="39" spans="1:12" x14ac:dyDescent="0.2">
      <c r="A39" s="612" t="s">
        <v>273</v>
      </c>
      <c r="B39" s="615" t="s">
        <v>335</v>
      </c>
      <c r="C39" s="618" t="s">
        <v>275</v>
      </c>
      <c r="D39" s="621" t="s">
        <v>276</v>
      </c>
      <c r="E39" s="624" t="s">
        <v>277</v>
      </c>
      <c r="F39" s="625"/>
      <c r="G39" s="625"/>
      <c r="H39" s="625"/>
      <c r="I39" s="625"/>
      <c r="J39" s="626"/>
      <c r="K39" s="627" t="s">
        <v>278</v>
      </c>
      <c r="L39" s="628"/>
    </row>
    <row r="40" spans="1:12" ht="13.5" x14ac:dyDescent="0.2">
      <c r="A40" s="613"/>
      <c r="B40" s="677"/>
      <c r="C40" s="619"/>
      <c r="D40" s="622"/>
      <c r="E40" s="397" t="s">
        <v>37</v>
      </c>
      <c r="F40" s="398" t="s">
        <v>39</v>
      </c>
      <c r="G40" s="398" t="s">
        <v>41</v>
      </c>
      <c r="H40" s="398" t="s">
        <v>44</v>
      </c>
      <c r="I40" s="398" t="s">
        <v>76</v>
      </c>
      <c r="J40" s="406" t="s">
        <v>78</v>
      </c>
      <c r="K40" s="629" t="s">
        <v>279</v>
      </c>
      <c r="L40" s="631" t="s">
        <v>280</v>
      </c>
    </row>
    <row r="41" spans="1:12" ht="28.5" customHeight="1" thickBot="1" x14ac:dyDescent="0.25">
      <c r="A41" s="614"/>
      <c r="B41" s="700"/>
      <c r="C41" s="620"/>
      <c r="D41" s="623"/>
      <c r="E41" s="352" t="s">
        <v>281</v>
      </c>
      <c r="F41" s="352" t="s">
        <v>281</v>
      </c>
      <c r="G41" s="352" t="s">
        <v>281</v>
      </c>
      <c r="H41" s="352" t="s">
        <v>281</v>
      </c>
      <c r="I41" s="352" t="s">
        <v>281</v>
      </c>
      <c r="J41" s="352" t="s">
        <v>281</v>
      </c>
      <c r="K41" s="701"/>
      <c r="L41" s="632"/>
    </row>
    <row r="42" spans="1:12" x14ac:dyDescent="0.2">
      <c r="A42" s="241">
        <v>1</v>
      </c>
      <c r="B42" s="383" t="s">
        <v>336</v>
      </c>
      <c r="C42" s="242" t="s">
        <v>275</v>
      </c>
      <c r="D42" s="364">
        <v>4</v>
      </c>
      <c r="E42" s="420">
        <v>26.9</v>
      </c>
      <c r="F42" s="421">
        <v>29.98</v>
      </c>
      <c r="G42" s="421">
        <v>23.9</v>
      </c>
      <c r="H42" s="421">
        <v>21.61</v>
      </c>
      <c r="I42" s="421">
        <v>20</v>
      </c>
      <c r="J42" s="421">
        <v>21.8</v>
      </c>
      <c r="K42" s="263">
        <f t="shared" ref="K42:K43" si="6">AVERAGE(E42:J42)</f>
        <v>24.031666666666666</v>
      </c>
      <c r="L42" s="264">
        <f t="shared" ref="L42:L43" si="7">K42*D42</f>
        <v>96.126666666666665</v>
      </c>
    </row>
    <row r="43" spans="1:12" x14ac:dyDescent="0.2">
      <c r="A43" s="197">
        <v>2</v>
      </c>
      <c r="B43" s="383" t="s">
        <v>337</v>
      </c>
      <c r="C43" s="181" t="s">
        <v>275</v>
      </c>
      <c r="D43" s="364">
        <v>2</v>
      </c>
      <c r="E43" s="422">
        <v>23.74</v>
      </c>
      <c r="F43" s="423">
        <v>20</v>
      </c>
      <c r="G43" s="423">
        <v>20.5</v>
      </c>
      <c r="H43" s="423">
        <v>19.149999999999999</v>
      </c>
      <c r="I43" s="423">
        <v>17.86</v>
      </c>
      <c r="J43" s="423">
        <v>20.34</v>
      </c>
      <c r="K43" s="263">
        <f t="shared" si="6"/>
        <v>20.264999999999997</v>
      </c>
      <c r="L43" s="264">
        <f t="shared" si="7"/>
        <v>40.529999999999994</v>
      </c>
    </row>
    <row r="44" spans="1:12" x14ac:dyDescent="0.2">
      <c r="A44" s="197">
        <v>3</v>
      </c>
      <c r="B44" s="383" t="s">
        <v>338</v>
      </c>
      <c r="C44" s="181" t="s">
        <v>275</v>
      </c>
      <c r="D44" s="364">
        <v>2</v>
      </c>
      <c r="E44" s="422">
        <v>11.56</v>
      </c>
      <c r="F44" s="423">
        <v>13.6</v>
      </c>
      <c r="G44" s="423">
        <v>13.5</v>
      </c>
      <c r="H44" s="423">
        <v>13.95</v>
      </c>
      <c r="I44" s="423">
        <v>13.54</v>
      </c>
      <c r="J44" s="423">
        <v>11.28</v>
      </c>
      <c r="K44" s="263">
        <f t="shared" ref="K44:K54" si="8">AVERAGE(E44:J44)</f>
        <v>12.905000000000001</v>
      </c>
      <c r="L44" s="264">
        <f t="shared" ref="L44:L54" si="9">K44*D44</f>
        <v>25.810000000000002</v>
      </c>
    </row>
    <row r="45" spans="1:12" x14ac:dyDescent="0.2">
      <c r="A45" s="241">
        <v>4</v>
      </c>
      <c r="B45" s="383" t="s">
        <v>339</v>
      </c>
      <c r="C45" s="181" t="s">
        <v>275</v>
      </c>
      <c r="D45" s="364">
        <v>1</v>
      </c>
      <c r="E45" s="422">
        <v>5.7</v>
      </c>
      <c r="F45" s="423">
        <v>7</v>
      </c>
      <c r="G45" s="423">
        <v>11.62</v>
      </c>
      <c r="H45" s="423">
        <v>11.39</v>
      </c>
      <c r="I45" s="423">
        <v>14.23</v>
      </c>
      <c r="J45" s="423">
        <v>11.09</v>
      </c>
      <c r="K45" s="263">
        <f t="shared" si="8"/>
        <v>10.171666666666667</v>
      </c>
      <c r="L45" s="264">
        <f t="shared" si="9"/>
        <v>10.171666666666667</v>
      </c>
    </row>
    <row r="46" spans="1:12" x14ac:dyDescent="0.2">
      <c r="A46" s="197">
        <v>5</v>
      </c>
      <c r="B46" s="383" t="s">
        <v>340</v>
      </c>
      <c r="C46" s="181" t="s">
        <v>275</v>
      </c>
      <c r="D46" s="364">
        <v>5</v>
      </c>
      <c r="E46" s="422">
        <v>11.95</v>
      </c>
      <c r="F46" s="423">
        <v>12.56</v>
      </c>
      <c r="G46" s="423">
        <v>13.8</v>
      </c>
      <c r="H46" s="423">
        <v>11.45</v>
      </c>
      <c r="I46" s="424">
        <v>9.76</v>
      </c>
      <c r="J46" s="423">
        <v>12.51</v>
      </c>
      <c r="K46" s="263">
        <f t="shared" si="8"/>
        <v>12.005000000000001</v>
      </c>
      <c r="L46" s="264">
        <f t="shared" si="9"/>
        <v>60.025000000000006</v>
      </c>
    </row>
    <row r="47" spans="1:12" x14ac:dyDescent="0.2">
      <c r="A47" s="241">
        <v>6</v>
      </c>
      <c r="B47" s="405" t="s">
        <v>341</v>
      </c>
      <c r="C47" s="181" t="s">
        <v>275</v>
      </c>
      <c r="D47" s="364">
        <v>2</v>
      </c>
      <c r="E47" s="422">
        <v>18.45</v>
      </c>
      <c r="F47" s="423">
        <v>19.98</v>
      </c>
      <c r="G47" s="423">
        <v>21.72</v>
      </c>
      <c r="H47" s="423">
        <v>20.81</v>
      </c>
      <c r="I47" s="424">
        <v>27.25</v>
      </c>
      <c r="J47" s="423">
        <v>18.399999999999999</v>
      </c>
      <c r="K47" s="263">
        <f t="shared" si="8"/>
        <v>21.101666666666663</v>
      </c>
      <c r="L47" s="264">
        <f t="shared" si="9"/>
        <v>42.203333333333326</v>
      </c>
    </row>
    <row r="48" spans="1:12" ht="56.25" customHeight="1" x14ac:dyDescent="0.2">
      <c r="A48" s="197">
        <v>7</v>
      </c>
      <c r="B48" s="383" t="s">
        <v>342</v>
      </c>
      <c r="C48" s="181" t="s">
        <v>286</v>
      </c>
      <c r="D48" s="364">
        <v>4</v>
      </c>
      <c r="E48" s="422">
        <v>6.3</v>
      </c>
      <c r="F48" s="423">
        <v>6.2</v>
      </c>
      <c r="G48" s="423">
        <v>6.5</v>
      </c>
      <c r="H48" s="423">
        <v>6.55</v>
      </c>
      <c r="I48" s="423">
        <v>4.8</v>
      </c>
      <c r="J48" s="423">
        <v>4.2</v>
      </c>
      <c r="K48" s="263">
        <f t="shared" si="8"/>
        <v>5.7583333333333337</v>
      </c>
      <c r="L48" s="264">
        <f t="shared" si="9"/>
        <v>23.033333333333335</v>
      </c>
    </row>
    <row r="49" spans="1:12" ht="25.5" x14ac:dyDescent="0.2">
      <c r="A49" s="241">
        <v>8</v>
      </c>
      <c r="B49" s="383" t="s">
        <v>343</v>
      </c>
      <c r="C49" s="181" t="s">
        <v>275</v>
      </c>
      <c r="D49" s="364">
        <v>2</v>
      </c>
      <c r="E49" s="422">
        <v>25.9</v>
      </c>
      <c r="F49" s="423">
        <v>26</v>
      </c>
      <c r="G49" s="423">
        <v>24.79</v>
      </c>
      <c r="H49" s="423">
        <v>28.9</v>
      </c>
      <c r="I49" s="423">
        <v>27.99</v>
      </c>
      <c r="J49" s="423">
        <v>39.89</v>
      </c>
      <c r="K49" s="263">
        <f t="shared" si="8"/>
        <v>28.911666666666672</v>
      </c>
      <c r="L49" s="264">
        <f t="shared" si="9"/>
        <v>57.823333333333345</v>
      </c>
    </row>
    <row r="50" spans="1:12" x14ac:dyDescent="0.2">
      <c r="A50" s="241">
        <v>9</v>
      </c>
      <c r="B50" s="405" t="s">
        <v>344</v>
      </c>
      <c r="C50" s="181" t="s">
        <v>275</v>
      </c>
      <c r="D50" s="364"/>
      <c r="E50" s="422">
        <v>20</v>
      </c>
      <c r="F50" s="423">
        <v>17.989999999999998</v>
      </c>
      <c r="G50" s="423">
        <v>17.899999999999999</v>
      </c>
      <c r="H50" s="423">
        <v>17.899999999999999</v>
      </c>
      <c r="I50" s="423">
        <v>21.06</v>
      </c>
      <c r="J50" s="423">
        <v>20.329999999999998</v>
      </c>
      <c r="K50" s="263">
        <f t="shared" si="8"/>
        <v>19.196666666666665</v>
      </c>
      <c r="L50" s="264">
        <f t="shared" si="9"/>
        <v>0</v>
      </c>
    </row>
    <row r="51" spans="1:12" x14ac:dyDescent="0.2">
      <c r="A51" s="197">
        <v>10</v>
      </c>
      <c r="B51" s="405" t="s">
        <v>345</v>
      </c>
      <c r="C51" s="181" t="s">
        <v>275</v>
      </c>
      <c r="D51" s="364">
        <v>2</v>
      </c>
      <c r="E51" s="422">
        <v>25.49</v>
      </c>
      <c r="F51" s="423">
        <v>26.39</v>
      </c>
      <c r="G51" s="423">
        <v>23</v>
      </c>
      <c r="H51" s="423">
        <v>25</v>
      </c>
      <c r="I51" s="423">
        <v>17.89</v>
      </c>
      <c r="J51" s="423">
        <v>22.99</v>
      </c>
      <c r="K51" s="263">
        <f t="shared" si="8"/>
        <v>23.459999999999997</v>
      </c>
      <c r="L51" s="264">
        <f t="shared" si="9"/>
        <v>46.919999999999995</v>
      </c>
    </row>
    <row r="52" spans="1:12" ht="25.5" x14ac:dyDescent="0.2">
      <c r="A52" s="241">
        <v>11</v>
      </c>
      <c r="B52" s="383" t="s">
        <v>346</v>
      </c>
      <c r="C52" s="181" t="s">
        <v>275</v>
      </c>
      <c r="D52" s="364">
        <v>2</v>
      </c>
      <c r="E52" s="422">
        <v>29.9</v>
      </c>
      <c r="F52" s="423">
        <v>26.48</v>
      </c>
      <c r="G52" s="423">
        <v>25</v>
      </c>
      <c r="H52" s="423">
        <v>29</v>
      </c>
      <c r="I52" s="423">
        <v>40.61</v>
      </c>
      <c r="J52" s="423">
        <v>24.61</v>
      </c>
      <c r="K52" s="263">
        <f t="shared" si="8"/>
        <v>29.266666666666669</v>
      </c>
      <c r="L52" s="264">
        <f t="shared" si="9"/>
        <v>58.533333333333339</v>
      </c>
    </row>
    <row r="53" spans="1:12" x14ac:dyDescent="0.2">
      <c r="A53" s="197">
        <v>12</v>
      </c>
      <c r="B53" s="383" t="s">
        <v>347</v>
      </c>
      <c r="C53" s="181" t="s">
        <v>348</v>
      </c>
      <c r="D53" s="364">
        <v>2</v>
      </c>
      <c r="E53" s="422">
        <v>22.57</v>
      </c>
      <c r="F53" s="423">
        <v>29.99</v>
      </c>
      <c r="G53" s="423">
        <v>27.53</v>
      </c>
      <c r="H53" s="423">
        <v>39.9</v>
      </c>
      <c r="I53" s="423">
        <v>37.69</v>
      </c>
      <c r="J53" s="423">
        <v>34.68</v>
      </c>
      <c r="K53" s="263">
        <f t="shared" si="8"/>
        <v>32.06</v>
      </c>
      <c r="L53" s="264">
        <f t="shared" si="9"/>
        <v>64.12</v>
      </c>
    </row>
    <row r="54" spans="1:12" ht="25.5" x14ac:dyDescent="0.2">
      <c r="A54" s="241">
        <v>13</v>
      </c>
      <c r="B54" s="383" t="s">
        <v>349</v>
      </c>
      <c r="C54" s="181" t="s">
        <v>275</v>
      </c>
      <c r="D54" s="364">
        <v>2</v>
      </c>
      <c r="E54" s="422">
        <v>72.989999999999995</v>
      </c>
      <c r="F54" s="423">
        <v>82</v>
      </c>
      <c r="G54" s="423">
        <v>73.31</v>
      </c>
      <c r="H54" s="423">
        <v>83.49</v>
      </c>
      <c r="I54" s="423">
        <v>74.25</v>
      </c>
      <c r="J54" s="423">
        <v>79.900000000000006</v>
      </c>
      <c r="K54" s="263">
        <f t="shared" si="8"/>
        <v>77.65666666666668</v>
      </c>
      <c r="L54" s="264">
        <f t="shared" si="9"/>
        <v>155.31333333333336</v>
      </c>
    </row>
    <row r="55" spans="1:12" ht="13.5" thickBot="1" x14ac:dyDescent="0.25">
      <c r="A55" s="581" t="s">
        <v>350</v>
      </c>
      <c r="B55" s="582"/>
      <c r="C55" s="582"/>
      <c r="D55" s="582"/>
      <c r="E55" s="582"/>
      <c r="F55" s="582"/>
      <c r="G55" s="582"/>
      <c r="H55" s="582"/>
      <c r="I55" s="582"/>
      <c r="J55" s="583"/>
      <c r="K55" s="702">
        <f>SUM(L42:L54)</f>
        <v>680.61000000000013</v>
      </c>
      <c r="L55" s="703"/>
    </row>
    <row r="56" spans="1:12" ht="13.5" thickBot="1" x14ac:dyDescent="0.25">
      <c r="A56" s="169"/>
      <c r="B56" s="169"/>
      <c r="C56" s="202"/>
      <c r="D56" s="203"/>
      <c r="E56" s="204"/>
      <c r="F56" s="204"/>
      <c r="G56" s="204"/>
      <c r="H56" s="204"/>
      <c r="I56" s="204"/>
      <c r="J56" s="204"/>
      <c r="K56" s="205"/>
      <c r="L56" s="205"/>
    </row>
    <row r="57" spans="1:12" ht="13.5" thickBot="1" x14ac:dyDescent="0.25">
      <c r="A57" s="581" t="s">
        <v>334</v>
      </c>
      <c r="B57" s="582"/>
      <c r="C57" s="582"/>
      <c r="D57" s="582"/>
      <c r="E57" s="582"/>
      <c r="F57" s="582"/>
      <c r="G57" s="582"/>
      <c r="H57" s="582"/>
      <c r="I57" s="582"/>
      <c r="J57" s="583"/>
      <c r="K57" s="698">
        <f>K55/'Limpeza - Item 5'!H174</f>
        <v>680.61000000000013</v>
      </c>
      <c r="L57" s="699"/>
    </row>
    <row r="58" spans="1:12" ht="13.5" thickBot="1" x14ac:dyDescent="0.25">
      <c r="A58" s="200"/>
      <c r="B58" s="200"/>
      <c r="C58" s="200"/>
      <c r="D58" s="200"/>
      <c r="E58" s="200"/>
      <c r="F58" s="200"/>
      <c r="G58" s="200"/>
      <c r="H58" s="200"/>
      <c r="I58" s="200"/>
      <c r="J58" s="200"/>
      <c r="K58" s="201"/>
      <c r="L58" s="201"/>
    </row>
    <row r="59" spans="1:12" ht="13.5" thickBot="1" x14ac:dyDescent="0.25">
      <c r="A59" s="704" t="s">
        <v>351</v>
      </c>
      <c r="B59" s="705"/>
      <c r="C59" s="705"/>
      <c r="D59" s="705"/>
      <c r="E59" s="705"/>
      <c r="F59" s="705"/>
      <c r="G59" s="705"/>
      <c r="H59" s="705"/>
      <c r="I59" s="705"/>
      <c r="J59" s="706"/>
      <c r="K59" s="707" t="s">
        <v>352</v>
      </c>
      <c r="L59" s="708"/>
    </row>
    <row r="60" spans="1:12" x14ac:dyDescent="0.2">
      <c r="A60" s="718" t="s">
        <v>353</v>
      </c>
      <c r="B60" s="719"/>
      <c r="C60" s="719"/>
      <c r="D60" s="719"/>
      <c r="E60" s="719"/>
      <c r="F60" s="719"/>
      <c r="G60" s="719"/>
      <c r="H60" s="719"/>
      <c r="I60" s="719"/>
      <c r="J60" s="719"/>
      <c r="K60" s="709">
        <f>K35</f>
        <v>870.60000000000025</v>
      </c>
      <c r="L60" s="710"/>
    </row>
    <row r="61" spans="1:12" ht="13.5" thickBot="1" x14ac:dyDescent="0.25">
      <c r="A61" s="716" t="s">
        <v>354</v>
      </c>
      <c r="B61" s="717"/>
      <c r="C61" s="717"/>
      <c r="D61" s="717"/>
      <c r="E61" s="717"/>
      <c r="F61" s="717"/>
      <c r="G61" s="717"/>
      <c r="H61" s="717"/>
      <c r="I61" s="717"/>
      <c r="J61" s="717"/>
      <c r="K61" s="720">
        <f>K57</f>
        <v>680.61000000000013</v>
      </c>
      <c r="L61" s="721"/>
    </row>
    <row r="62" spans="1:12" ht="13.5" thickBot="1" x14ac:dyDescent="0.25">
      <c r="A62" s="711" t="s">
        <v>355</v>
      </c>
      <c r="B62" s="712"/>
      <c r="C62" s="712"/>
      <c r="D62" s="712"/>
      <c r="E62" s="712"/>
      <c r="F62" s="712"/>
      <c r="G62" s="712"/>
      <c r="H62" s="712"/>
      <c r="I62" s="712"/>
      <c r="J62" s="713"/>
      <c r="K62" s="714">
        <f>SUM(K60:L61)</f>
        <v>1551.2100000000005</v>
      </c>
      <c r="L62" s="715"/>
    </row>
    <row r="64" spans="1:12" ht="13.5" thickBot="1" x14ac:dyDescent="0.25"/>
    <row r="65" spans="1:12" ht="20.25" customHeight="1" x14ac:dyDescent="0.2">
      <c r="A65" s="639"/>
      <c r="B65" s="640"/>
      <c r="C65" s="645" t="s">
        <v>295</v>
      </c>
      <c r="D65" s="648"/>
      <c r="E65" s="649"/>
      <c r="F65" s="649"/>
      <c r="G65" s="649"/>
      <c r="H65" s="649"/>
      <c r="I65" s="649"/>
      <c r="J65" s="649"/>
      <c r="K65" s="649"/>
      <c r="L65" s="650"/>
    </row>
    <row r="66" spans="1:12" ht="28.5" customHeight="1" x14ac:dyDescent="0.2">
      <c r="A66" s="641"/>
      <c r="B66" s="642"/>
      <c r="C66" s="646"/>
      <c r="D66" s="651"/>
      <c r="E66" s="652"/>
      <c r="F66" s="652"/>
      <c r="G66" s="652"/>
      <c r="H66" s="652"/>
      <c r="I66" s="652"/>
      <c r="J66" s="652"/>
      <c r="K66" s="652"/>
      <c r="L66" s="653"/>
    </row>
    <row r="67" spans="1:12" ht="14.25" customHeight="1" x14ac:dyDescent="0.2">
      <c r="A67" s="641"/>
      <c r="B67" s="642"/>
      <c r="C67" s="646"/>
      <c r="D67" s="651"/>
      <c r="E67" s="652"/>
      <c r="F67" s="652"/>
      <c r="G67" s="652"/>
      <c r="H67" s="652"/>
      <c r="I67" s="652"/>
      <c r="J67" s="652"/>
      <c r="K67" s="652"/>
      <c r="L67" s="653"/>
    </row>
    <row r="68" spans="1:12" ht="13.5" thickBot="1" x14ac:dyDescent="0.25">
      <c r="A68" s="643"/>
      <c r="B68" s="644"/>
      <c r="C68" s="647"/>
      <c r="D68" s="654"/>
      <c r="E68" s="655"/>
      <c r="F68" s="655"/>
      <c r="G68" s="655"/>
      <c r="H68" s="655"/>
      <c r="I68" s="655"/>
      <c r="J68" s="655"/>
      <c r="K68" s="655"/>
      <c r="L68" s="656"/>
    </row>
  </sheetData>
  <mergeCells count="54">
    <mergeCell ref="K60:L60"/>
    <mergeCell ref="A62:J62"/>
    <mergeCell ref="K62:L62"/>
    <mergeCell ref="A65:B68"/>
    <mergeCell ref="C65:C68"/>
    <mergeCell ref="D65:L68"/>
    <mergeCell ref="A61:J61"/>
    <mergeCell ref="A60:J60"/>
    <mergeCell ref="K61:L61"/>
    <mergeCell ref="K55:L55"/>
    <mergeCell ref="A57:J57"/>
    <mergeCell ref="K57:L57"/>
    <mergeCell ref="A59:J59"/>
    <mergeCell ref="K59:L59"/>
    <mergeCell ref="A55:J55"/>
    <mergeCell ref="A33:J33"/>
    <mergeCell ref="K33:L33"/>
    <mergeCell ref="A35:J35"/>
    <mergeCell ref="K35:L35"/>
    <mergeCell ref="A39:A41"/>
    <mergeCell ref="B39:B41"/>
    <mergeCell ref="C39:C41"/>
    <mergeCell ref="D39:D41"/>
    <mergeCell ref="E39:J39"/>
    <mergeCell ref="K39:L39"/>
    <mergeCell ref="K40:K41"/>
    <mergeCell ref="L40:L41"/>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56" t="s">
        <v>356</v>
      </c>
    </row>
    <row r="3" spans="1:8" ht="13.5" thickBot="1" x14ac:dyDescent="0.25">
      <c r="A3" s="41"/>
    </row>
    <row r="4" spans="1:8" ht="13.5" thickBot="1" x14ac:dyDescent="0.25">
      <c r="A4" s="725" t="s">
        <v>357</v>
      </c>
      <c r="B4" s="726"/>
      <c r="C4" s="726"/>
      <c r="D4" s="726"/>
      <c r="E4" s="727"/>
      <c r="H4" s="9" t="s">
        <v>358</v>
      </c>
    </row>
    <row r="5" spans="1:8" ht="13.5" thickBot="1" x14ac:dyDescent="0.25">
      <c r="A5" s="728" t="s">
        <v>359</v>
      </c>
      <c r="B5" s="728"/>
      <c r="C5" s="728"/>
      <c r="D5" s="728"/>
      <c r="E5" s="69" t="s">
        <v>6</v>
      </c>
    </row>
    <row r="6" spans="1:8" x14ac:dyDescent="0.2">
      <c r="A6" s="46" t="s">
        <v>360</v>
      </c>
      <c r="B6" s="51"/>
      <c r="C6" s="51"/>
      <c r="D6" s="51"/>
      <c r="E6" s="123">
        <v>88.61</v>
      </c>
      <c r="F6" s="96" t="s">
        <v>361</v>
      </c>
      <c r="G6" s="121">
        <v>0.5</v>
      </c>
      <c r="H6" t="s">
        <v>362</v>
      </c>
    </row>
    <row r="7" spans="1:8" ht="13.5" thickBot="1" x14ac:dyDescent="0.25">
      <c r="A7" s="46" t="s">
        <v>363</v>
      </c>
      <c r="B7" s="51"/>
      <c r="C7" s="51"/>
      <c r="D7" s="51"/>
      <c r="E7" s="124">
        <v>1.35</v>
      </c>
      <c r="G7" s="122">
        <v>0.5</v>
      </c>
      <c r="H7" t="s">
        <v>364</v>
      </c>
    </row>
    <row r="8" spans="1:8" ht="13.5" thickBot="1" x14ac:dyDescent="0.25">
      <c r="A8" s="49" t="s">
        <v>365</v>
      </c>
      <c r="B8" s="50"/>
      <c r="C8" s="50"/>
      <c r="D8" s="50"/>
      <c r="E8" s="125">
        <v>10.039999999999999</v>
      </c>
    </row>
    <row r="9" spans="1:8" ht="13.5" thickBot="1" x14ac:dyDescent="0.25">
      <c r="A9" s="41"/>
    </row>
    <row r="10" spans="1:8" ht="13.5" thickBot="1" x14ac:dyDescent="0.25">
      <c r="A10" s="725" t="s">
        <v>357</v>
      </c>
      <c r="B10" s="726"/>
      <c r="C10" s="726"/>
      <c r="D10" s="726"/>
      <c r="E10" s="727"/>
    </row>
    <row r="11" spans="1:8" ht="13.5" thickBot="1" x14ac:dyDescent="0.25">
      <c r="A11" s="728" t="s">
        <v>359</v>
      </c>
      <c r="B11" s="728"/>
      <c r="C11" s="728"/>
      <c r="D11" s="728"/>
      <c r="E11" s="69" t="s">
        <v>6</v>
      </c>
    </row>
    <row r="12" spans="1:8" x14ac:dyDescent="0.2">
      <c r="A12" s="47" t="s">
        <v>366</v>
      </c>
      <c r="B12" s="48"/>
      <c r="C12" s="48"/>
      <c r="D12" s="48"/>
      <c r="E12" s="126">
        <f>E6*G6</f>
        <v>44.305</v>
      </c>
    </row>
    <row r="13" spans="1:8" ht="13.5" thickBot="1" x14ac:dyDescent="0.25">
      <c r="A13" s="46" t="s">
        <v>367</v>
      </c>
      <c r="B13" s="51"/>
      <c r="C13" s="51"/>
      <c r="D13" s="51"/>
      <c r="E13" s="127">
        <f>E6*G7</f>
        <v>44.305</v>
      </c>
    </row>
    <row r="14" spans="1:8" ht="13.5" thickBot="1" x14ac:dyDescent="0.25">
      <c r="A14" s="41"/>
    </row>
    <row r="15" spans="1:8" ht="13.5" thickBot="1" x14ac:dyDescent="0.25">
      <c r="A15" s="65" t="s">
        <v>368</v>
      </c>
      <c r="B15" s="66"/>
      <c r="C15" s="129">
        <v>12</v>
      </c>
      <c r="E15" s="65" t="s">
        <v>368</v>
      </c>
      <c r="F15" s="66"/>
      <c r="G15" s="128">
        <v>18</v>
      </c>
      <c r="H15" s="29" t="s">
        <v>369</v>
      </c>
    </row>
    <row r="16" spans="1:8" ht="13.5" thickBot="1" x14ac:dyDescent="0.25">
      <c r="A16" s="41"/>
      <c r="E16" s="41"/>
    </row>
    <row r="17" spans="1:16" ht="13.5" thickBot="1" x14ac:dyDescent="0.25">
      <c r="A17" s="729" t="s">
        <v>370</v>
      </c>
      <c r="B17" s="730"/>
      <c r="C17" s="731"/>
      <c r="E17" s="729" t="s">
        <v>370</v>
      </c>
      <c r="F17" s="730"/>
      <c r="G17" s="731"/>
    </row>
    <row r="18" spans="1:16" x14ac:dyDescent="0.2">
      <c r="A18" s="57"/>
      <c r="C18" s="58"/>
      <c r="E18" s="57"/>
      <c r="G18" s="58"/>
    </row>
    <row r="19" spans="1:16" x14ac:dyDescent="0.2">
      <c r="A19" s="59" t="s">
        <v>2</v>
      </c>
      <c r="C19" s="58"/>
      <c r="E19" s="59" t="s">
        <v>2</v>
      </c>
      <c r="G19" s="58"/>
    </row>
    <row r="20" spans="1:16" x14ac:dyDescent="0.2">
      <c r="A20" s="57" t="s">
        <v>3</v>
      </c>
      <c r="C20" s="60">
        <f>'Controle de pragas - Item 6'!I58</f>
        <v>1536.73</v>
      </c>
      <c r="E20" s="57" t="s">
        <v>3</v>
      </c>
      <c r="G20" s="60">
        <f>'Controle de pragas - Item 6'!I58</f>
        <v>1536.73</v>
      </c>
    </row>
    <row r="21" spans="1:16" x14ac:dyDescent="0.2">
      <c r="A21" s="57" t="s">
        <v>371</v>
      </c>
      <c r="C21" s="60">
        <f>'Controle de pragas - Item 6'!I115</f>
        <v>1680.4530528853334</v>
      </c>
      <c r="E21" s="57" t="s">
        <v>371</v>
      </c>
      <c r="G21" s="60">
        <f>'Controle de pragas - Item 6'!I115</f>
        <v>1680.4530528853334</v>
      </c>
    </row>
    <row r="22" spans="1:16" x14ac:dyDescent="0.2">
      <c r="A22" s="57" t="s">
        <v>372</v>
      </c>
      <c r="C22" s="60">
        <f>-'Mód2.2'!C11</f>
        <v>-533.0117270400001</v>
      </c>
      <c r="D22" s="104" t="s">
        <v>373</v>
      </c>
      <c r="E22" s="57" t="s">
        <v>372</v>
      </c>
      <c r="G22" s="60">
        <f>-'Mód2.2'!C11</f>
        <v>-533.0117270400001</v>
      </c>
    </row>
    <row r="23" spans="1:16" x14ac:dyDescent="0.2">
      <c r="A23" s="59" t="s">
        <v>5</v>
      </c>
      <c r="C23" s="61">
        <f>SUM(C20:C22)</f>
        <v>2684.1713258453333</v>
      </c>
      <c r="E23" s="59" t="s">
        <v>5</v>
      </c>
      <c r="G23" s="61">
        <f>SUM(G20:G22)</f>
        <v>2684.1713258453333</v>
      </c>
    </row>
    <row r="24" spans="1:16" x14ac:dyDescent="0.2">
      <c r="A24" s="57"/>
      <c r="C24" s="58"/>
      <c r="E24" s="57"/>
      <c r="G24" s="58"/>
    </row>
    <row r="25" spans="1:16" x14ac:dyDescent="0.2">
      <c r="A25" s="59" t="s">
        <v>368</v>
      </c>
      <c r="C25" s="64">
        <f>C15</f>
        <v>12</v>
      </c>
      <c r="E25" s="59" t="s">
        <v>368</v>
      </c>
      <c r="G25" s="64">
        <f>G15</f>
        <v>18</v>
      </c>
    </row>
    <row r="26" spans="1:16" x14ac:dyDescent="0.2">
      <c r="A26" s="59" t="s">
        <v>374</v>
      </c>
      <c r="C26" s="74">
        <f>E12</f>
        <v>44.305</v>
      </c>
      <c r="E26" s="59" t="s">
        <v>374</v>
      </c>
      <c r="G26" s="74">
        <f>E12</f>
        <v>44.305</v>
      </c>
    </row>
    <row r="27" spans="1:16" ht="13.5" thickBot="1" x14ac:dyDescent="0.25">
      <c r="A27" s="57"/>
      <c r="C27" s="58"/>
      <c r="E27" s="57"/>
      <c r="G27" s="58"/>
    </row>
    <row r="28" spans="1:16" ht="13.5" thickBot="1" x14ac:dyDescent="0.25">
      <c r="A28" s="53" t="s">
        <v>375</v>
      </c>
      <c r="B28" s="54"/>
      <c r="C28" s="68">
        <f>C23/C25*C26%</f>
        <v>99.101842159647916</v>
      </c>
      <c r="E28" s="105" t="s">
        <v>376</v>
      </c>
      <c r="F28" s="54"/>
      <c r="G28" s="68">
        <f>G23/G25*G26%</f>
        <v>66.067894773098601</v>
      </c>
    </row>
    <row r="29" spans="1:16" ht="13.5" thickBot="1" x14ac:dyDescent="0.25"/>
    <row r="30" spans="1:16" ht="13.5" thickBot="1" x14ac:dyDescent="0.25">
      <c r="A30" s="440" t="s">
        <v>377</v>
      </c>
      <c r="B30" s="441"/>
      <c r="C30" s="441"/>
      <c r="D30" s="441"/>
      <c r="E30" s="441"/>
      <c r="F30" s="441"/>
      <c r="G30" s="442"/>
      <c r="J30" s="440" t="s">
        <v>377</v>
      </c>
      <c r="K30" s="441"/>
      <c r="L30" s="441"/>
      <c r="M30" s="441"/>
      <c r="N30" s="441"/>
      <c r="O30" s="441"/>
      <c r="P30" s="442"/>
    </row>
    <row r="31" spans="1:16" x14ac:dyDescent="0.2">
      <c r="A31" s="57"/>
      <c r="G31" s="58"/>
      <c r="J31" s="57"/>
      <c r="P31" s="58"/>
    </row>
    <row r="32" spans="1:16" x14ac:dyDescent="0.2">
      <c r="A32" s="59" t="s">
        <v>2</v>
      </c>
      <c r="G32" s="58"/>
      <c r="J32" s="59" t="s">
        <v>2</v>
      </c>
      <c r="P32" s="58"/>
    </row>
    <row r="33" spans="1:19" x14ac:dyDescent="0.2">
      <c r="A33" s="57" t="s">
        <v>3</v>
      </c>
      <c r="G33" s="60">
        <f>'Controle de pragas - Item 6'!I58</f>
        <v>1536.73</v>
      </c>
      <c r="J33" s="57" t="s">
        <v>1</v>
      </c>
      <c r="P33" s="60">
        <f>'Mód2.2'!H11</f>
        <v>148.05881306666666</v>
      </c>
    </row>
    <row r="34" spans="1:19" x14ac:dyDescent="0.2">
      <c r="A34" s="57" t="s">
        <v>4</v>
      </c>
      <c r="G34" s="60">
        <f>'Controle de pragas - Item 6'!I67</f>
        <v>314.00516333333337</v>
      </c>
      <c r="J34" s="57"/>
      <c r="P34" s="60"/>
    </row>
    <row r="35" spans="1:19" x14ac:dyDescent="0.2">
      <c r="A35" s="59" t="s">
        <v>5</v>
      </c>
      <c r="G35" s="61">
        <f>SUM(G33:G34)</f>
        <v>1850.7351633333333</v>
      </c>
      <c r="H35" s="739" t="s">
        <v>373</v>
      </c>
      <c r="I35" s="740"/>
      <c r="J35" s="59" t="s">
        <v>5</v>
      </c>
      <c r="P35" s="61">
        <f>SUM(P33:P34)</f>
        <v>148.05881306666666</v>
      </c>
    </row>
    <row r="36" spans="1:19" x14ac:dyDescent="0.2">
      <c r="A36" s="57"/>
      <c r="G36" s="58"/>
      <c r="J36" s="57"/>
      <c r="P36" s="58"/>
    </row>
    <row r="37" spans="1:19" x14ac:dyDescent="0.2">
      <c r="A37" s="59" t="s">
        <v>378</v>
      </c>
      <c r="G37" s="62">
        <f>'Controle de pragas - Item 6'!H87</f>
        <v>0.08</v>
      </c>
      <c r="J37" s="59"/>
      <c r="P37" s="62"/>
    </row>
    <row r="38" spans="1:19" x14ac:dyDescent="0.2">
      <c r="A38" s="59" t="s">
        <v>379</v>
      </c>
      <c r="G38" s="62">
        <v>0.4</v>
      </c>
      <c r="J38" s="59" t="s">
        <v>379</v>
      </c>
      <c r="P38" s="62">
        <v>0.4</v>
      </c>
    </row>
    <row r="39" spans="1:19" x14ac:dyDescent="0.2">
      <c r="A39" s="59" t="s">
        <v>374</v>
      </c>
      <c r="C39" s="63"/>
      <c r="G39" s="74">
        <f>E12</f>
        <v>44.305</v>
      </c>
      <c r="J39" s="59" t="s">
        <v>374</v>
      </c>
      <c r="L39" s="63"/>
      <c r="P39" s="74">
        <f>E12</f>
        <v>44.305</v>
      </c>
    </row>
    <row r="40" spans="1:19" ht="13.5" thickBot="1" x14ac:dyDescent="0.25">
      <c r="A40" s="57"/>
      <c r="G40" s="58"/>
      <c r="J40" s="57"/>
      <c r="P40" s="58"/>
    </row>
    <row r="41" spans="1:19" ht="13.5" thickBot="1" x14ac:dyDescent="0.25">
      <c r="A41" s="440" t="s">
        <v>380</v>
      </c>
      <c r="B41" s="441"/>
      <c r="C41" s="441"/>
      <c r="D41" s="441"/>
      <c r="E41" s="441"/>
      <c r="F41" s="441"/>
      <c r="G41" s="68">
        <f>G35*G37*G38*G39%</f>
        <v>26.238982851674667</v>
      </c>
      <c r="J41" s="578" t="s">
        <v>381</v>
      </c>
      <c r="K41" s="738"/>
      <c r="L41" s="738"/>
      <c r="M41" s="738"/>
      <c r="N41" s="738"/>
      <c r="O41" s="738"/>
      <c r="P41" s="68">
        <f>P35*P38*P39%</f>
        <v>26.238982851674667</v>
      </c>
    </row>
    <row r="43" spans="1:19" ht="13.5" thickBot="1" x14ac:dyDescent="0.25"/>
    <row r="44" spans="1:19" ht="13.5" thickBot="1" x14ac:dyDescent="0.25">
      <c r="A44" s="722" t="s">
        <v>382</v>
      </c>
      <c r="B44" s="723"/>
      <c r="C44" s="724"/>
      <c r="E44" s="722" t="s">
        <v>382</v>
      </c>
      <c r="F44" s="723"/>
      <c r="G44" s="724"/>
    </row>
    <row r="45" spans="1:19" x14ac:dyDescent="0.2">
      <c r="A45" s="57"/>
      <c r="C45" s="58"/>
      <c r="E45" s="57"/>
      <c r="G45" s="58"/>
      <c r="J45" s="75" t="s">
        <v>383</v>
      </c>
    </row>
    <row r="46" spans="1:19" x14ac:dyDescent="0.2">
      <c r="A46" s="59" t="s">
        <v>2</v>
      </c>
      <c r="C46" s="58"/>
      <c r="E46" s="59" t="s">
        <v>2</v>
      </c>
      <c r="G46" s="58"/>
    </row>
    <row r="47" spans="1:19" ht="12.75" customHeight="1" x14ac:dyDescent="0.2">
      <c r="A47" s="57" t="s">
        <v>3</v>
      </c>
      <c r="C47" s="60">
        <f>'Controle de pragas - Item 6'!I58</f>
        <v>1536.73</v>
      </c>
      <c r="E47" s="57" t="s">
        <v>3</v>
      </c>
      <c r="G47" s="60">
        <f>'Controle de pragas - Item 6'!I58</f>
        <v>1536.73</v>
      </c>
      <c r="J47" s="579" t="s">
        <v>384</v>
      </c>
      <c r="K47" s="579"/>
      <c r="L47" s="579"/>
      <c r="M47" s="579"/>
      <c r="N47" s="579"/>
      <c r="O47" s="579"/>
      <c r="P47" s="579"/>
      <c r="Q47" s="579"/>
      <c r="R47" s="579"/>
      <c r="S47" s="579"/>
    </row>
    <row r="48" spans="1:19" x14ac:dyDescent="0.2">
      <c r="A48" s="57" t="s">
        <v>371</v>
      </c>
      <c r="C48" s="60">
        <f>'Controle de pragas - Item 6'!I115</f>
        <v>1680.4530528853334</v>
      </c>
      <c r="E48" s="57" t="s">
        <v>371</v>
      </c>
      <c r="G48" s="60">
        <f>'Controle de pragas - Item 6'!I115</f>
        <v>1680.4530528853334</v>
      </c>
      <c r="H48" s="43"/>
      <c r="I48" s="43"/>
      <c r="J48" s="579"/>
      <c r="K48" s="579"/>
      <c r="L48" s="579"/>
      <c r="M48" s="579"/>
      <c r="N48" s="579"/>
      <c r="O48" s="579"/>
      <c r="P48" s="579"/>
      <c r="Q48" s="579"/>
      <c r="R48" s="579"/>
      <c r="S48" s="579"/>
    </row>
    <row r="49" spans="1:19" x14ac:dyDescent="0.2">
      <c r="A49" s="59" t="s">
        <v>5</v>
      </c>
      <c r="C49" s="61">
        <f>SUM(C47:C48)</f>
        <v>3217.1830528853334</v>
      </c>
      <c r="D49" s="104" t="s">
        <v>373</v>
      </c>
      <c r="E49" s="59" t="s">
        <v>5</v>
      </c>
      <c r="G49" s="61">
        <f>SUM(G47:G48)</f>
        <v>3217.1830528853334</v>
      </c>
      <c r="H49" s="741" t="s">
        <v>373</v>
      </c>
      <c r="I49" s="741"/>
      <c r="J49" s="579"/>
      <c r="K49" s="579"/>
      <c r="L49" s="579"/>
      <c r="M49" s="579"/>
      <c r="N49" s="579"/>
      <c r="O49" s="579"/>
      <c r="P49" s="579"/>
      <c r="Q49" s="579"/>
      <c r="R49" s="579"/>
      <c r="S49" s="579"/>
    </row>
    <row r="50" spans="1:19" x14ac:dyDescent="0.2">
      <c r="A50" s="57"/>
      <c r="C50" s="58"/>
      <c r="E50" s="57"/>
      <c r="G50" s="58"/>
      <c r="J50" s="579"/>
      <c r="K50" s="579"/>
      <c r="L50" s="579"/>
      <c r="M50" s="579"/>
      <c r="N50" s="579"/>
      <c r="O50" s="579"/>
      <c r="P50" s="579"/>
      <c r="Q50" s="579"/>
      <c r="R50" s="579"/>
      <c r="S50" s="579"/>
    </row>
    <row r="51" spans="1:19" ht="13.5" thickBot="1" x14ac:dyDescent="0.25">
      <c r="A51" s="59" t="s">
        <v>368</v>
      </c>
      <c r="C51" s="64">
        <f>C15</f>
        <v>12</v>
      </c>
      <c r="E51" s="59" t="s">
        <v>368</v>
      </c>
      <c r="G51" s="64">
        <f>G15</f>
        <v>18</v>
      </c>
      <c r="J51" s="579"/>
      <c r="K51" s="579"/>
      <c r="L51" s="579"/>
      <c r="M51" s="579"/>
      <c r="N51" s="579"/>
      <c r="O51" s="579"/>
      <c r="P51" s="579"/>
      <c r="Q51" s="579"/>
      <c r="R51" s="579"/>
      <c r="S51" s="579"/>
    </row>
    <row r="52" spans="1:19" ht="13.5" thickBot="1" x14ac:dyDescent="0.25">
      <c r="A52" s="59" t="s">
        <v>374</v>
      </c>
      <c r="C52" s="74">
        <f>E13</f>
        <v>44.305</v>
      </c>
      <c r="E52" s="59" t="s">
        <v>374</v>
      </c>
      <c r="G52" s="74">
        <f>E13</f>
        <v>44.305</v>
      </c>
      <c r="J52" s="73">
        <f>'Controle de pragas - Item 6'!I58*1.94%</f>
        <v>29.812562</v>
      </c>
      <c r="M52" s="7"/>
    </row>
    <row r="53" spans="1:19" ht="13.5" thickBot="1" x14ac:dyDescent="0.25">
      <c r="A53" s="57"/>
      <c r="C53" s="58"/>
      <c r="E53" s="57"/>
      <c r="G53" s="58"/>
    </row>
    <row r="54" spans="1:19" ht="13.5" thickBot="1" x14ac:dyDescent="0.25">
      <c r="A54" s="53" t="s">
        <v>385</v>
      </c>
      <c r="B54" s="54"/>
      <c r="C54" s="68">
        <f>C49/C51*C52%</f>
        <v>118.78107929840391</v>
      </c>
      <c r="E54" s="105" t="s">
        <v>386</v>
      </c>
      <c r="F54" s="54"/>
      <c r="G54" s="68">
        <f>G49/G51*G52%</f>
        <v>79.18738619893594</v>
      </c>
    </row>
    <row r="55" spans="1:19" ht="13.5" thickBot="1" x14ac:dyDescent="0.25"/>
    <row r="56" spans="1:19" ht="13.5" thickBot="1" x14ac:dyDescent="0.25">
      <c r="A56" s="440" t="s">
        <v>387</v>
      </c>
      <c r="B56" s="441"/>
      <c r="C56" s="441"/>
      <c r="D56" s="441"/>
      <c r="E56" s="441"/>
      <c r="F56" s="441"/>
      <c r="G56" s="442"/>
      <c r="J56" s="440" t="s">
        <v>387</v>
      </c>
      <c r="K56" s="441"/>
      <c r="L56" s="441"/>
      <c r="M56" s="441"/>
      <c r="N56" s="441"/>
      <c r="O56" s="441"/>
      <c r="P56" s="442"/>
    </row>
    <row r="57" spans="1:19" x14ac:dyDescent="0.2">
      <c r="A57" s="57"/>
      <c r="G57" s="58"/>
      <c r="J57" s="57"/>
      <c r="P57" s="58"/>
    </row>
    <row r="58" spans="1:19" x14ac:dyDescent="0.2">
      <c r="A58" s="59" t="s">
        <v>2</v>
      </c>
      <c r="G58" s="58"/>
      <c r="J58" s="59" t="s">
        <v>2</v>
      </c>
      <c r="P58" s="58"/>
    </row>
    <row r="59" spans="1:19" x14ac:dyDescent="0.2">
      <c r="A59" s="57" t="s">
        <v>3</v>
      </c>
      <c r="G59" s="60">
        <f>'Controle de pragas - Item 6'!I58</f>
        <v>1536.73</v>
      </c>
      <c r="J59" s="57" t="s">
        <v>1</v>
      </c>
      <c r="P59" s="60">
        <f>'Mód2.2'!H11</f>
        <v>148.05881306666666</v>
      </c>
    </row>
    <row r="60" spans="1:19" x14ac:dyDescent="0.2">
      <c r="A60" s="57" t="s">
        <v>4</v>
      </c>
      <c r="G60" s="60">
        <f>'Controle de pragas - Item 6'!I67</f>
        <v>314.00516333333337</v>
      </c>
      <c r="J60" s="57"/>
      <c r="P60" s="60"/>
    </row>
    <row r="61" spans="1:19" x14ac:dyDescent="0.2">
      <c r="A61" s="59" t="s">
        <v>5</v>
      </c>
      <c r="G61" s="61">
        <f>SUM(G59:G60)</f>
        <v>1850.7351633333333</v>
      </c>
      <c r="J61" s="59" t="s">
        <v>5</v>
      </c>
      <c r="P61" s="61">
        <f>SUM(P59:P60)</f>
        <v>148.05881306666666</v>
      </c>
    </row>
    <row r="62" spans="1:19" x14ac:dyDescent="0.2">
      <c r="A62" s="57"/>
      <c r="G62" s="58"/>
      <c r="H62" s="739" t="s">
        <v>373</v>
      </c>
      <c r="I62" s="740"/>
      <c r="J62" s="57"/>
      <c r="P62" s="58"/>
    </row>
    <row r="63" spans="1:19" x14ac:dyDescent="0.2">
      <c r="A63" s="59" t="s">
        <v>378</v>
      </c>
      <c r="G63" s="62">
        <f>'Controle de pragas - Item 6'!H87</f>
        <v>0.08</v>
      </c>
      <c r="J63" s="59"/>
      <c r="P63" s="62"/>
    </row>
    <row r="64" spans="1:19" x14ac:dyDescent="0.2">
      <c r="A64" s="59" t="s">
        <v>379</v>
      </c>
      <c r="G64" s="62">
        <v>0.4</v>
      </c>
      <c r="J64" s="59" t="s">
        <v>379</v>
      </c>
      <c r="P64" s="62">
        <v>0.4</v>
      </c>
    </row>
    <row r="65" spans="1:16" x14ac:dyDescent="0.2">
      <c r="A65" s="59" t="s">
        <v>374</v>
      </c>
      <c r="C65" s="63"/>
      <c r="G65" s="74">
        <f>E13</f>
        <v>44.305</v>
      </c>
      <c r="J65" s="59" t="s">
        <v>374</v>
      </c>
      <c r="L65" s="63"/>
      <c r="P65" s="74">
        <f>E13</f>
        <v>44.305</v>
      </c>
    </row>
    <row r="66" spans="1:16" ht="13.5" thickBot="1" x14ac:dyDescent="0.25">
      <c r="A66" s="57"/>
      <c r="G66" s="58"/>
      <c r="J66" s="57"/>
      <c r="P66" s="58"/>
    </row>
    <row r="67" spans="1:16" ht="13.5" thickBot="1" x14ac:dyDescent="0.25">
      <c r="A67" s="440" t="s">
        <v>388</v>
      </c>
      <c r="B67" s="441"/>
      <c r="C67" s="441"/>
      <c r="D67" s="441"/>
      <c r="E67" s="441"/>
      <c r="F67" s="441"/>
      <c r="G67" s="68">
        <f>G61*G63*G64*G65%</f>
        <v>26.238982851674667</v>
      </c>
      <c r="J67" s="578" t="s">
        <v>389</v>
      </c>
      <c r="K67" s="738"/>
      <c r="L67" s="738"/>
      <c r="M67" s="738"/>
      <c r="N67" s="738"/>
      <c r="O67" s="738"/>
      <c r="P67" s="68">
        <f>P61*P64*P65%</f>
        <v>26.238982851674667</v>
      </c>
    </row>
    <row r="70" spans="1:16" ht="13.5" thickBot="1" x14ac:dyDescent="0.25"/>
    <row r="71" spans="1:16" ht="13.5" thickBot="1" x14ac:dyDescent="0.25">
      <c r="A71" s="440" t="s">
        <v>390</v>
      </c>
      <c r="B71" s="441"/>
      <c r="C71" s="441"/>
      <c r="D71" s="441"/>
      <c r="E71" s="441"/>
      <c r="F71" s="441"/>
      <c r="G71" s="442"/>
    </row>
    <row r="72" spans="1:16" x14ac:dyDescent="0.2">
      <c r="A72" s="85"/>
      <c r="B72" s="86"/>
      <c r="C72" s="86"/>
      <c r="D72" s="86"/>
      <c r="E72" s="86"/>
      <c r="F72" s="86"/>
      <c r="G72" s="87"/>
    </row>
    <row r="73" spans="1:16" x14ac:dyDescent="0.2">
      <c r="A73" s="59" t="s">
        <v>2</v>
      </c>
      <c r="G73" s="58"/>
    </row>
    <row r="74" spans="1:16" x14ac:dyDescent="0.2">
      <c r="A74" s="57" t="s">
        <v>391</v>
      </c>
      <c r="G74" s="60">
        <f>-'Controle de pragas - Item 6'!I67</f>
        <v>-314.00516333333337</v>
      </c>
    </row>
    <row r="75" spans="1:16" x14ac:dyDescent="0.2">
      <c r="A75" s="57"/>
      <c r="G75" s="58"/>
    </row>
    <row r="76" spans="1:16" x14ac:dyDescent="0.2">
      <c r="A76" s="59" t="s">
        <v>374</v>
      </c>
      <c r="G76" s="97">
        <f>E7</f>
        <v>1.35</v>
      </c>
    </row>
    <row r="77" spans="1:16" ht="13.5" thickBot="1" x14ac:dyDescent="0.25">
      <c r="A77" s="88"/>
      <c r="B77" s="89"/>
      <c r="C77" s="89"/>
      <c r="D77" s="89"/>
      <c r="E77" s="89"/>
      <c r="F77" s="89"/>
      <c r="G77" s="90"/>
    </row>
    <row r="78" spans="1:16" ht="13.5" thickBot="1" x14ac:dyDescent="0.25">
      <c r="A78" s="440" t="s">
        <v>392</v>
      </c>
      <c r="B78" s="441"/>
      <c r="C78" s="441"/>
      <c r="D78" s="441"/>
      <c r="E78" s="441"/>
      <c r="F78" s="441"/>
      <c r="G78" s="68">
        <f>G74*G76%</f>
        <v>-4.2390697050000012</v>
      </c>
    </row>
    <row r="80" spans="1:16" ht="13.5" thickBot="1" x14ac:dyDescent="0.25"/>
    <row r="81" spans="2:11" ht="13.5" thickBot="1" x14ac:dyDescent="0.25">
      <c r="B81" s="735" t="s">
        <v>393</v>
      </c>
      <c r="C81" s="736"/>
      <c r="D81" s="736"/>
      <c r="E81" s="736"/>
      <c r="F81" s="736"/>
      <c r="G81" s="736"/>
      <c r="H81" s="736"/>
      <c r="I81" s="736"/>
      <c r="J81" s="736"/>
      <c r="K81" s="737"/>
    </row>
    <row r="82" spans="2:11" x14ac:dyDescent="0.2">
      <c r="B82" s="85"/>
      <c r="C82" s="86"/>
      <c r="D82" s="86"/>
      <c r="E82" s="86"/>
      <c r="F82" s="86"/>
      <c r="G82" s="87"/>
      <c r="H82" s="98" t="s">
        <v>394</v>
      </c>
      <c r="I82" s="98" t="s">
        <v>395</v>
      </c>
      <c r="J82" s="98" t="s">
        <v>396</v>
      </c>
      <c r="K82" s="98" t="s">
        <v>397</v>
      </c>
    </row>
    <row r="83" spans="2:11" ht="13.5" thickBot="1" x14ac:dyDescent="0.25">
      <c r="B83" s="732" t="s">
        <v>398</v>
      </c>
      <c r="C83" s="733"/>
      <c r="D83" s="733"/>
      <c r="E83" s="733"/>
      <c r="F83" s="733"/>
      <c r="G83" s="734"/>
      <c r="H83" s="101" t="s">
        <v>399</v>
      </c>
      <c r="I83" s="101" t="s">
        <v>400</v>
      </c>
      <c r="J83" s="101"/>
      <c r="K83" s="101" t="s">
        <v>401</v>
      </c>
    </row>
    <row r="84" spans="2:11" x14ac:dyDescent="0.2">
      <c r="B84" s="85"/>
      <c r="C84" s="86"/>
      <c r="D84" s="86"/>
      <c r="E84" s="86"/>
      <c r="F84" s="86"/>
      <c r="G84" s="87"/>
      <c r="H84" s="99"/>
      <c r="I84" s="99"/>
      <c r="J84" s="99"/>
      <c r="K84" s="99"/>
    </row>
    <row r="85" spans="2:11" x14ac:dyDescent="0.2">
      <c r="B85" s="57" t="str">
        <f>A28</f>
        <v>VALOR AP INDENIZADO</v>
      </c>
      <c r="G85" s="58"/>
      <c r="H85" s="100">
        <f>C28</f>
        <v>99.101842159647916</v>
      </c>
      <c r="I85" s="99"/>
      <c r="J85" s="99"/>
      <c r="K85" s="100">
        <f>G28</f>
        <v>66.067894773098601</v>
      </c>
    </row>
    <row r="86" spans="2:11" x14ac:dyDescent="0.2">
      <c r="B86" s="57" t="str">
        <f>A41</f>
        <v>VALOR MULTA FGTS E CONTRIBUIÇÃO SOCIAL NO AP INDENIZADO</v>
      </c>
      <c r="G86" s="58"/>
      <c r="H86" s="100">
        <f>G41</f>
        <v>26.238982851674667</v>
      </c>
      <c r="I86" s="99"/>
      <c r="J86" s="99"/>
      <c r="K86" s="100">
        <f>G41</f>
        <v>26.238982851674667</v>
      </c>
    </row>
    <row r="87" spans="2:11" x14ac:dyDescent="0.2">
      <c r="B87" s="57" t="str">
        <f>A54</f>
        <v>VALOR AP TRABALHADO</v>
      </c>
      <c r="G87" s="58"/>
      <c r="H87" s="100">
        <f>C54</f>
        <v>118.78107929840391</v>
      </c>
      <c r="I87" s="100">
        <f>J52</f>
        <v>29.812562</v>
      </c>
      <c r="J87" s="99"/>
      <c r="K87" s="100">
        <f>G54</f>
        <v>79.18738619893594</v>
      </c>
    </row>
    <row r="88" spans="2:11" x14ac:dyDescent="0.2">
      <c r="B88" s="57" t="str">
        <f>A67</f>
        <v>VALOR MULTA FGTS E CONTRIBUIÇÃO SOCIAL NO AP TRABALHADO</v>
      </c>
      <c r="G88" s="58"/>
      <c r="H88" s="100">
        <f>G67</f>
        <v>26.238982851674667</v>
      </c>
      <c r="I88" s="99"/>
      <c r="J88" s="99"/>
      <c r="K88" s="100">
        <f>G67</f>
        <v>26.238982851674667</v>
      </c>
    </row>
    <row r="89" spans="2:11" x14ac:dyDescent="0.2">
      <c r="B89" s="57" t="str">
        <f>A78</f>
        <v>VALOR DEMISSÃO POR JUSTA CAUSA</v>
      </c>
      <c r="G89" s="58"/>
      <c r="H89" s="100">
        <f>G78</f>
        <v>-4.2390697050000012</v>
      </c>
      <c r="I89" s="99"/>
      <c r="J89" s="99"/>
      <c r="K89" s="99"/>
    </row>
    <row r="90" spans="2:11" ht="13.5" thickBot="1" x14ac:dyDescent="0.25">
      <c r="B90" s="88"/>
      <c r="C90" s="89"/>
      <c r="D90" s="89"/>
      <c r="E90" s="89"/>
      <c r="F90" s="89"/>
      <c r="G90" s="90"/>
      <c r="H90" s="99"/>
      <c r="I90" s="99"/>
      <c r="J90" s="99"/>
      <c r="K90" s="99"/>
    </row>
    <row r="91" spans="2:11" ht="13.5" thickBot="1" x14ac:dyDescent="0.25">
      <c r="B91" s="65" t="s">
        <v>402</v>
      </c>
      <c r="C91" s="78"/>
      <c r="D91" s="78"/>
      <c r="E91" s="78"/>
      <c r="F91" s="78"/>
      <c r="G91" s="78"/>
      <c r="H91" s="102">
        <f>SUM(H85:H90)</f>
        <v>266.12181745640112</v>
      </c>
      <c r="I91" s="106">
        <f>SUM(I85:I90)</f>
        <v>29.812562</v>
      </c>
      <c r="J91" s="103">
        <f>SUM(J85:J90)</f>
        <v>0</v>
      </c>
      <c r="K91" s="106">
        <f>SUM(K85:K90)</f>
        <v>197.7332466753839</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Mód2.2</vt:lpstr>
      <vt:lpstr>Resumo</vt:lpstr>
      <vt:lpstr>Limpeza - Item 5</vt:lpstr>
      <vt:lpstr>Controle de pragas - Item 6</vt:lpstr>
      <vt:lpstr>Remanejamento- Item 7</vt:lpstr>
      <vt:lpstr>Mód2.3 </vt:lpstr>
      <vt:lpstr>Uniform&amp;EPIs </vt:lpstr>
      <vt:lpstr>Materiais</vt:lpstr>
      <vt:lpstr>Mód3</vt:lpstr>
      <vt:lpstr>Mód6</vt:lpstr>
      <vt:lpstr>Mód4</vt:lpstr>
      <vt:lpstr>Equipamentos</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Tiago Gonçalves da Silva Saback</cp:lastModifiedBy>
  <cp:revision/>
  <cp:lastPrinted>2025-12-17T19:17:14Z</cp:lastPrinted>
  <dcterms:created xsi:type="dcterms:W3CDTF">2010-12-08T17:56:29Z</dcterms:created>
  <dcterms:modified xsi:type="dcterms:W3CDTF">2026-02-03T18:17:51Z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